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Parameters" sheetId="3" state="visible" r:id="rId3"/>
    <sheet xmlns:r="http://schemas.openxmlformats.org/officeDocument/2006/relationships" name="IR Trace" sheetId="4" state="visible" r:id="rId4"/>
    <sheet xmlns:r="http://schemas.openxmlformats.org/officeDocument/2006/relationships" name="FX Trace" sheetId="5" state="visible" r:id="rId5"/>
    <sheet xmlns:r="http://schemas.openxmlformats.org/officeDocument/2006/relationships" name="Aggreg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2"/>
    </font>
    <font>
      <b val="1"/>
      <color rgb="00FFFFFF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2D3748"/>
      </patternFill>
    </fill>
    <fill>
      <patternFill patternType="solid">
        <fgColor rgb="00FFF8E7"/>
      </patternFill>
    </fill>
    <fill>
      <patternFill patternType="solid">
        <fgColor rgb="00E6F4FF"/>
      </patternFill>
    </fill>
    <fill>
      <patternFill patternType="solid">
        <fgColor rgb="00D4F4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5" borderId="0" pivotButton="0" quotePrefix="0" xfId="0"/>
    <xf numFmtId="0" fontId="0" fillId="3" borderId="0" pivotButton="0" quotePrefix="0" xfId="0"/>
    <xf numFmtId="0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Rijeka SIMM IM Estimator — Live-Formula Calculation Trace</t>
        </is>
      </c>
    </row>
    <row r="3">
      <c r="A3" t="inlineStr">
        <is>
          <t>Counterparty</t>
        </is>
      </c>
      <c r="B3" t="inlineStr">
        <is>
          <t>Sample_CP</t>
        </is>
      </c>
    </row>
    <row r="4">
      <c r="A4" t="inlineStr">
        <is>
          <t>Methodology</t>
        </is>
      </c>
      <c r="B4" t="inlineStr">
        <is>
          <t>ISDA SIMM v2.8+2506</t>
        </is>
      </c>
    </row>
    <row r="5">
      <c r="A5" t="inlineStr">
        <is>
          <t>Generated</t>
        </is>
      </c>
      <c r="B5" t="inlineStr">
        <is>
          <t>2026-05-08 09:03:32 UTC</t>
        </is>
      </c>
    </row>
    <row r="7">
      <c r="A7" t="inlineStr">
        <is>
          <t>NOTE: Educational estimate only. Not licensed for regulatory margin posting.</t>
        </is>
      </c>
    </row>
    <row r="9">
      <c r="A9" s="2">
        <f>==== TOP-LINE RESULT (live) =====</f>
        <v/>
      </c>
    </row>
    <row r="10">
      <c r="A10" s="3" t="inlineStr">
        <is>
          <t>Total SIMM IM:</t>
        </is>
      </c>
      <c r="B10" s="3">
        <f>Aggregation!$B$22</f>
        <v/>
      </c>
    </row>
    <row r="12">
      <c r="A12" s="3">
        <f>==== PER RISK CLASS (live) =====</f>
        <v/>
      </c>
    </row>
    <row r="13">
      <c r="A13" s="3" t="inlineStr">
        <is>
          <t>IM_IR:</t>
        </is>
      </c>
      <c r="B13" s="3">
        <f>Aggregation!$B$10</f>
        <v/>
      </c>
    </row>
    <row r="14">
      <c r="A14" t="inlineStr">
        <is>
          <t>IM_FX:</t>
        </is>
      </c>
      <c r="B14" s="4">
        <f>Aggregation!$B$15</f>
        <v/>
      </c>
    </row>
    <row r="16">
      <c r="A16" s="2">
        <f>==== HOW TO USE THIS WORKBOOK =====</f>
        <v/>
      </c>
    </row>
    <row r="17">
      <c r="A17" t="inlineStr">
        <is>
          <t>1. Open the "Inputs" sheet to see all CRIF rows. Edit AmountUSD values to run what-ifs.</t>
        </is>
      </c>
    </row>
    <row r="18">
      <c r="A18" t="inlineStr">
        <is>
          <t>2. Open the "Parameters" sheet to see all ISDA SIMM v2.8+2506 parameters. Edit any value to stress-test.</t>
        </is>
      </c>
    </row>
    <row r="19">
      <c r="A19" t="inlineStr">
        <is>
          <t>3. The "IR Trace" and "FX Trace" sheets show every step with live formulas.</t>
        </is>
      </c>
    </row>
    <row r="20">
      <c r="A20" t="inlineStr">
        <is>
          <t>4. Per-currency K_b is computed via explicit cross-correlation pair listing — every term is a live formula.</t>
        </is>
      </c>
    </row>
    <row r="21">
      <c r="A21" t="inlineStr">
        <is>
          <t>5. Total SIMM at the top of this sheet recomputes whenever any cell upstream changes.</t>
        </is>
      </c>
    </row>
    <row r="23">
      <c r="A23" s="2">
        <f>==== KNOWN LIMITATIONS (static cells) =====</f>
        <v/>
      </c>
    </row>
    <row r="24">
      <c r="A24" t="inlineStr">
        <is>
          <t>IR Vega, IR Curvature, FX Vega, FX Curvature use static values rather than live formulas.</t>
        </is>
      </c>
    </row>
    <row r="25">
      <c r="A25" t="inlineStr">
        <is>
          <t>These calculations involve currency-specific implied vol assumptions and a θ/λ formulation</t>
        </is>
      </c>
    </row>
    <row r="26">
      <c r="A26" t="inlineStr">
        <is>
          <t>that would require maintaining additional parameter tables in Excel. Their values are</t>
        </is>
      </c>
    </row>
    <row r="27">
      <c r="A27" t="inlineStr">
        <is>
          <t>shown in the Trace sheets and feed into the live aggregation formula at the top.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CRIF Inputs (editable)</t>
        </is>
      </c>
    </row>
    <row r="3">
      <c r="A3" t="inlineStr">
        <is>
          <t>Edit AmountUSD column (col F) to run what-if analysis.</t>
        </is>
      </c>
    </row>
    <row r="4">
      <c r="A4" t="inlineStr">
        <is>
          <t>All formulas in IR Trace and FX Trace sheets reference these values.</t>
        </is>
      </c>
    </row>
    <row r="6">
      <c r="A6" t="inlineStr">
        <is>
          <t>Row #</t>
        </is>
      </c>
      <c r="B6" t="inlineStr">
        <is>
          <t>RiskType</t>
        </is>
      </c>
      <c r="C6" t="inlineStr">
        <is>
          <t>Qualifier</t>
        </is>
      </c>
      <c r="D6" t="inlineStr">
        <is>
          <t>Bucket</t>
        </is>
      </c>
      <c r="E6" t="inlineStr">
        <is>
          <t>Label1</t>
        </is>
      </c>
      <c r="F6" t="inlineStr">
        <is>
          <t>Label2</t>
        </is>
      </c>
      <c r="G6" t="inlineStr">
        <is>
          <t>AmountUSD</t>
        </is>
      </c>
    </row>
    <row r="7">
      <c r="A7" t="n">
        <v>1</v>
      </c>
      <c r="B7" t="inlineStr">
        <is>
          <t>Risk_IRCurve</t>
        </is>
      </c>
      <c r="C7" t="inlineStr">
        <is>
          <t>USD</t>
        </is>
      </c>
      <c r="E7" t="inlineStr">
        <is>
          <t>2y</t>
        </is>
      </c>
      <c r="F7" t="inlineStr">
        <is>
          <t>OIS</t>
        </is>
      </c>
      <c r="G7" s="5" t="n">
        <v>250000</v>
      </c>
    </row>
    <row r="8">
      <c r="A8" t="n">
        <v>2</v>
      </c>
      <c r="B8" t="inlineStr">
        <is>
          <t>Risk_IRCurve</t>
        </is>
      </c>
      <c r="C8" t="inlineStr">
        <is>
          <t>USD</t>
        </is>
      </c>
      <c r="E8" t="inlineStr">
        <is>
          <t>5y</t>
        </is>
      </c>
      <c r="F8" t="inlineStr">
        <is>
          <t>OIS</t>
        </is>
      </c>
      <c r="G8" s="5" t="n">
        <v>1200000</v>
      </c>
    </row>
    <row r="9">
      <c r="A9" t="n">
        <v>3</v>
      </c>
      <c r="B9" t="inlineStr">
        <is>
          <t>Risk_IRCurve</t>
        </is>
      </c>
      <c r="C9" t="inlineStr">
        <is>
          <t>USD</t>
        </is>
      </c>
      <c r="E9" t="inlineStr">
        <is>
          <t>10y</t>
        </is>
      </c>
      <c r="F9" t="inlineStr">
        <is>
          <t>OIS</t>
        </is>
      </c>
      <c r="G9" s="5" t="n">
        <v>-800000</v>
      </c>
    </row>
    <row r="10">
      <c r="A10" t="n">
        <v>4</v>
      </c>
      <c r="B10" t="inlineStr">
        <is>
          <t>Risk_IRCurve</t>
        </is>
      </c>
      <c r="C10" t="inlineStr">
        <is>
          <t>USD</t>
        </is>
      </c>
      <c r="E10" t="inlineStr">
        <is>
          <t>15y</t>
        </is>
      </c>
      <c r="F10" t="inlineStr">
        <is>
          <t>OIS</t>
        </is>
      </c>
      <c r="G10" s="5" t="n">
        <v>200000</v>
      </c>
    </row>
    <row r="11">
      <c r="A11" t="n">
        <v>5</v>
      </c>
      <c r="B11" t="inlineStr">
        <is>
          <t>Risk_IRCurve</t>
        </is>
      </c>
      <c r="C11" t="inlineStr">
        <is>
          <t>USD</t>
        </is>
      </c>
      <c r="E11" t="inlineStr">
        <is>
          <t>30y</t>
        </is>
      </c>
      <c r="F11" t="inlineStr">
        <is>
          <t>OIS</t>
        </is>
      </c>
      <c r="G11" s="5" t="n">
        <v>-150000</v>
      </c>
    </row>
    <row r="12">
      <c r="A12" t="n">
        <v>6</v>
      </c>
      <c r="B12" t="inlineStr">
        <is>
          <t>Risk_IRCurve</t>
        </is>
      </c>
      <c r="C12" t="inlineStr">
        <is>
          <t>EUR</t>
        </is>
      </c>
      <c r="E12" t="inlineStr">
        <is>
          <t>5y</t>
        </is>
      </c>
      <c r="F12" t="inlineStr">
        <is>
          <t>OIS</t>
        </is>
      </c>
      <c r="G12" s="5" t="n">
        <v>600000</v>
      </c>
    </row>
    <row r="13">
      <c r="A13" t="n">
        <v>7</v>
      </c>
      <c r="B13" t="inlineStr">
        <is>
          <t>Risk_IRCurve</t>
        </is>
      </c>
      <c r="C13" t="inlineStr">
        <is>
          <t>EUR</t>
        </is>
      </c>
      <c r="E13" t="inlineStr">
        <is>
          <t>10y</t>
        </is>
      </c>
      <c r="F13" t="inlineStr">
        <is>
          <t>OIS</t>
        </is>
      </c>
      <c r="G13" s="5" t="n">
        <v>-400000</v>
      </c>
    </row>
    <row r="14">
      <c r="A14" t="n">
        <v>8</v>
      </c>
      <c r="B14" t="inlineStr">
        <is>
          <t>Risk_IRCurve</t>
        </is>
      </c>
      <c r="C14" t="inlineStr">
        <is>
          <t>GBP</t>
        </is>
      </c>
      <c r="E14" t="inlineStr">
        <is>
          <t>5y</t>
        </is>
      </c>
      <c r="F14" t="inlineStr">
        <is>
          <t>OIS</t>
        </is>
      </c>
      <c r="G14" s="5" t="n">
        <v>300000</v>
      </c>
    </row>
    <row r="15">
      <c r="A15" t="n">
        <v>9</v>
      </c>
      <c r="B15" t="inlineStr">
        <is>
          <t>Risk_IRCurve</t>
        </is>
      </c>
      <c r="C15" t="inlineStr">
        <is>
          <t>JPY</t>
        </is>
      </c>
      <c r="E15" t="inlineStr">
        <is>
          <t>10y</t>
        </is>
      </c>
      <c r="F15" t="inlineStr">
        <is>
          <t>OIS</t>
        </is>
      </c>
      <c r="G15" s="5" t="n">
        <v>-200000</v>
      </c>
    </row>
    <row r="16">
      <c r="A16" t="n">
        <v>10</v>
      </c>
      <c r="B16" t="inlineStr">
        <is>
          <t>Risk_Inflation</t>
        </is>
      </c>
      <c r="C16" t="inlineStr">
        <is>
          <t>USD</t>
        </is>
      </c>
      <c r="G16" s="5" t="n">
        <v>50000</v>
      </c>
    </row>
    <row r="17">
      <c r="A17" t="n">
        <v>11</v>
      </c>
      <c r="B17" t="inlineStr">
        <is>
          <t>Risk_XCcyBasis</t>
        </is>
      </c>
      <c r="C17" t="inlineStr">
        <is>
          <t>EUR</t>
        </is>
      </c>
      <c r="G17" s="5" t="n">
        <v>75000</v>
      </c>
    </row>
    <row r="18">
      <c r="A18" t="n">
        <v>12</v>
      </c>
      <c r="B18" t="inlineStr">
        <is>
          <t>Risk_IRVol</t>
        </is>
      </c>
      <c r="C18" t="inlineStr">
        <is>
          <t>USD</t>
        </is>
      </c>
      <c r="E18" t="inlineStr">
        <is>
          <t>5y</t>
        </is>
      </c>
      <c r="F18" t="inlineStr">
        <is>
          <t>5y</t>
        </is>
      </c>
      <c r="G18" s="5" t="n">
        <v>8000</v>
      </c>
    </row>
    <row r="19">
      <c r="A19" t="n">
        <v>13</v>
      </c>
      <c r="B19" t="inlineStr">
        <is>
          <t>Risk_IRVol</t>
        </is>
      </c>
      <c r="C19" t="inlineStr">
        <is>
          <t>USD</t>
        </is>
      </c>
      <c r="E19" t="inlineStr">
        <is>
          <t>10y</t>
        </is>
      </c>
      <c r="F19" t="inlineStr">
        <is>
          <t>10y</t>
        </is>
      </c>
      <c r="G19" s="5" t="n">
        <v>5000</v>
      </c>
    </row>
    <row r="20">
      <c r="A20" t="n">
        <v>14</v>
      </c>
      <c r="B20" t="inlineStr">
        <is>
          <t>Risk_IRVol</t>
        </is>
      </c>
      <c r="C20" t="inlineStr">
        <is>
          <t>EUR</t>
        </is>
      </c>
      <c r="E20" t="inlineStr">
        <is>
          <t>5y</t>
        </is>
      </c>
      <c r="F20" t="inlineStr">
        <is>
          <t>5y</t>
        </is>
      </c>
      <c r="G20" s="5" t="n">
        <v>4000</v>
      </c>
    </row>
    <row r="21">
      <c r="A21" t="n">
        <v>15</v>
      </c>
      <c r="B21" t="inlineStr">
        <is>
          <t>Risk_FX</t>
        </is>
      </c>
      <c r="C21" t="inlineStr">
        <is>
          <t>EUR</t>
        </is>
      </c>
      <c r="G21" s="5" t="n">
        <v>3500000</v>
      </c>
    </row>
    <row r="22">
      <c r="A22" t="n">
        <v>16</v>
      </c>
      <c r="B22" t="inlineStr">
        <is>
          <t>Risk_FX</t>
        </is>
      </c>
      <c r="C22" t="inlineStr">
        <is>
          <t>GBP</t>
        </is>
      </c>
      <c r="G22" s="5" t="n">
        <v>1200000</v>
      </c>
    </row>
    <row r="23">
      <c r="A23" t="n">
        <v>17</v>
      </c>
      <c r="B23" t="inlineStr">
        <is>
          <t>Risk_FX</t>
        </is>
      </c>
      <c r="C23" t="inlineStr">
        <is>
          <t>JPY</t>
        </is>
      </c>
      <c r="G23" s="5" t="n">
        <v>-2200000</v>
      </c>
    </row>
    <row r="24">
      <c r="A24" t="n">
        <v>18</v>
      </c>
      <c r="B24" t="inlineStr">
        <is>
          <t>Risk_FX</t>
        </is>
      </c>
      <c r="C24" t="inlineStr">
        <is>
          <t>BRL</t>
        </is>
      </c>
      <c r="G24" s="5" t="n">
        <v>400000</v>
      </c>
    </row>
    <row r="25">
      <c r="A25" t="n">
        <v>19</v>
      </c>
      <c r="B25" t="inlineStr">
        <is>
          <t>Risk_FXVol</t>
        </is>
      </c>
      <c r="C25" t="inlineStr">
        <is>
          <t>EURUSD</t>
        </is>
      </c>
      <c r="E25" t="inlineStr">
        <is>
          <t>1y</t>
        </is>
      </c>
      <c r="G25" s="5" t="n">
        <v>150000</v>
      </c>
    </row>
    <row r="26">
      <c r="A26" t="n">
        <v>20</v>
      </c>
      <c r="B26" t="inlineStr">
        <is>
          <t>Risk_FXVol</t>
        </is>
      </c>
      <c r="C26" t="inlineStr">
        <is>
          <t>GBPUSD</t>
        </is>
      </c>
      <c r="E26" t="inlineStr">
        <is>
          <t>6m</t>
        </is>
      </c>
      <c r="G26" s="5" t="n">
        <v>80000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69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ISDA SIMM v2.8+2506 Parameters (editable)</t>
        </is>
      </c>
    </row>
    <row r="2"/>
    <row r="3">
      <c r="A3" s="2">
        <f>==== IR RISK WEIGHTS BY TENOR (paragraph 33) =====</f>
        <v/>
      </c>
    </row>
    <row r="4">
      <c r="A4" t="inlineStr">
        <is>
          <t>Vol Group</t>
        </is>
      </c>
      <c r="B4" t="inlineStr">
        <is>
          <t>2w</t>
        </is>
      </c>
      <c r="C4" t="inlineStr">
        <is>
          <t>1m</t>
        </is>
      </c>
      <c r="D4" t="inlineStr">
        <is>
          <t>3m</t>
        </is>
      </c>
      <c r="E4" t="inlineStr">
        <is>
          <t>6m</t>
        </is>
      </c>
      <c r="F4" t="inlineStr">
        <is>
          <t>1y</t>
        </is>
      </c>
      <c r="G4" t="inlineStr">
        <is>
          <t>2y</t>
        </is>
      </c>
      <c r="H4" t="inlineStr">
        <is>
          <t>3y</t>
        </is>
      </c>
      <c r="I4" t="inlineStr">
        <is>
          <t>5y</t>
        </is>
      </c>
      <c r="J4" t="inlineStr">
        <is>
          <t>10y</t>
        </is>
      </c>
      <c r="K4" t="inlineStr">
        <is>
          <t>15y</t>
        </is>
      </c>
      <c r="L4" t="inlineStr">
        <is>
          <t>20y</t>
        </is>
      </c>
      <c r="M4" t="inlineStr">
        <is>
          <t>30y</t>
        </is>
      </c>
    </row>
    <row r="5">
      <c r="A5" t="inlineStr">
        <is>
          <t>Regular</t>
        </is>
      </c>
      <c r="B5" s="5" t="n">
        <v>107</v>
      </c>
      <c r="C5" s="5" t="n">
        <v>101</v>
      </c>
      <c r="D5" s="5" t="n">
        <v>90</v>
      </c>
      <c r="E5" s="5" t="n">
        <v>69</v>
      </c>
      <c r="F5" s="5" t="n">
        <v>68</v>
      </c>
      <c r="G5" s="5" t="n">
        <v>69</v>
      </c>
      <c r="H5" s="5" t="n">
        <v>66</v>
      </c>
      <c r="I5" s="5" t="n">
        <v>61</v>
      </c>
      <c r="J5" s="5" t="n">
        <v>60</v>
      </c>
      <c r="K5" s="5" t="n">
        <v>58</v>
      </c>
      <c r="L5" s="5" t="n">
        <v>58</v>
      </c>
      <c r="M5" s="5" t="n">
        <v>66</v>
      </c>
    </row>
    <row r="6">
      <c r="A6" t="inlineStr">
        <is>
          <t>Low (JPY)</t>
        </is>
      </c>
      <c r="B6" s="5" t="n">
        <v>15</v>
      </c>
      <c r="C6" s="5" t="n">
        <v>18</v>
      </c>
      <c r="D6" s="5" t="n">
        <v>12</v>
      </c>
      <c r="E6" s="5" t="n">
        <v>11</v>
      </c>
      <c r="F6" s="5" t="n">
        <v>15</v>
      </c>
      <c r="G6" s="5" t="n">
        <v>21</v>
      </c>
      <c r="H6" s="5" t="n">
        <v>23</v>
      </c>
      <c r="I6" s="5" t="n">
        <v>25</v>
      </c>
      <c r="J6" s="5" t="n">
        <v>29</v>
      </c>
      <c r="K6" s="5" t="n">
        <v>27</v>
      </c>
      <c r="L6" s="5" t="n">
        <v>26</v>
      </c>
      <c r="M6" s="5" t="n">
        <v>28</v>
      </c>
    </row>
    <row r="7">
      <c r="A7" t="inlineStr">
        <is>
          <t>High</t>
        </is>
      </c>
      <c r="B7" s="5" t="n">
        <v>167</v>
      </c>
      <c r="C7" s="5" t="n">
        <v>102</v>
      </c>
      <c r="D7" s="5" t="n">
        <v>79</v>
      </c>
      <c r="E7" s="5" t="n">
        <v>82</v>
      </c>
      <c r="F7" s="5" t="n">
        <v>90</v>
      </c>
      <c r="G7" s="5" t="n">
        <v>93</v>
      </c>
      <c r="H7" s="5" t="n">
        <v>92</v>
      </c>
      <c r="I7" s="5" t="n">
        <v>88</v>
      </c>
      <c r="J7" s="5" t="n">
        <v>88</v>
      </c>
      <c r="K7" s="5" t="n">
        <v>98</v>
      </c>
      <c r="L7" s="5" t="n">
        <v>101</v>
      </c>
      <c r="M7" s="5" t="n">
        <v>96</v>
      </c>
    </row>
    <row r="8"/>
    <row r="9">
      <c r="A9" t="inlineStr">
        <is>
          <t>Inflation RW</t>
        </is>
      </c>
      <c r="B9" s="5" t="n">
        <v>51</v>
      </c>
    </row>
    <row r="10">
      <c r="A10" t="inlineStr">
        <is>
          <t>XCcy basis RW</t>
        </is>
      </c>
      <c r="B10" s="5" t="n">
        <v>21</v>
      </c>
    </row>
    <row r="11">
      <c r="A11" t="inlineStr">
        <is>
          <t>HVR_IR</t>
        </is>
      </c>
      <c r="B11" s="5" t="n">
        <v>0.74</v>
      </c>
    </row>
    <row r="12">
      <c r="A12" t="inlineStr">
        <is>
          <t>VRW_IR</t>
        </is>
      </c>
      <c r="B12" s="5" t="n">
        <v>0.2</v>
      </c>
    </row>
    <row r="13">
      <c r="A13" t="inlineStr">
        <is>
          <t>Sub-curve correlation φ</t>
        </is>
      </c>
      <c r="B13" s="5" t="n">
        <v>0.981</v>
      </c>
    </row>
    <row r="14">
      <c r="A14" t="inlineStr">
        <is>
          <t>Inflation-yield correlation</t>
        </is>
      </c>
      <c r="B14" s="5" t="n">
        <v>0.42</v>
      </c>
    </row>
    <row r="15">
      <c r="A15" t="inlineStr">
        <is>
          <t>XCcy-yield correlation</t>
        </is>
      </c>
      <c r="B15" s="5" t="n">
        <v>-0.01</v>
      </c>
    </row>
    <row r="16">
      <c r="A16" t="inlineStr">
        <is>
          <t>γ_IR cross-currency</t>
        </is>
      </c>
      <c r="B16" s="5" t="n">
        <v>0.35</v>
      </c>
    </row>
    <row r="17"/>
    <row r="18">
      <c r="A18" s="2">
        <f>==== IR TENOR CORRELATION MATRIX (paragraph 36) =====</f>
        <v/>
      </c>
    </row>
    <row r="19">
      <c r="B19" t="inlineStr">
        <is>
          <t>2w</t>
        </is>
      </c>
      <c r="C19" t="inlineStr">
        <is>
          <t>1m</t>
        </is>
      </c>
      <c r="D19" t="inlineStr">
        <is>
          <t>3m</t>
        </is>
      </c>
      <c r="E19" t="inlineStr">
        <is>
          <t>6m</t>
        </is>
      </c>
      <c r="F19" t="inlineStr">
        <is>
          <t>1y</t>
        </is>
      </c>
      <c r="G19" t="inlineStr">
        <is>
          <t>2y</t>
        </is>
      </c>
      <c r="H19" t="inlineStr">
        <is>
          <t>3y</t>
        </is>
      </c>
      <c r="I19" t="inlineStr">
        <is>
          <t>5y</t>
        </is>
      </c>
      <c r="J19" t="inlineStr">
        <is>
          <t>10y</t>
        </is>
      </c>
      <c r="K19" t="inlineStr">
        <is>
          <t>15y</t>
        </is>
      </c>
      <c r="L19" t="inlineStr">
        <is>
          <t>20y</t>
        </is>
      </c>
      <c r="M19" t="inlineStr">
        <is>
          <t>30y</t>
        </is>
      </c>
    </row>
    <row r="20">
      <c r="A20" t="inlineStr">
        <is>
          <t>2w</t>
        </is>
      </c>
      <c r="B20" s="5" t="n">
        <v>1</v>
      </c>
      <c r="C20" s="5" t="n">
        <v>0.74</v>
      </c>
      <c r="D20" s="5" t="n">
        <v>0.65</v>
      </c>
      <c r="E20" s="5" t="n">
        <v>0.54</v>
      </c>
      <c r="F20" s="5" t="n">
        <v>0.4</v>
      </c>
      <c r="G20" s="5" t="n">
        <v>0.29</v>
      </c>
      <c r="H20" s="5" t="n">
        <v>0.25</v>
      </c>
      <c r="I20" s="5" t="n">
        <v>0.22</v>
      </c>
      <c r="J20" s="5" t="n">
        <v>0.17</v>
      </c>
      <c r="K20" s="5" t="n">
        <v>0.16</v>
      </c>
      <c r="L20" s="5" t="n">
        <v>0.14</v>
      </c>
      <c r="M20" s="5" t="n">
        <v>0.14</v>
      </c>
    </row>
    <row r="21">
      <c r="A21" t="inlineStr">
        <is>
          <t>1m</t>
        </is>
      </c>
      <c r="B21" s="5" t="n">
        <v>0.74</v>
      </c>
      <c r="C21" s="5" t="n">
        <v>1</v>
      </c>
      <c r="D21" s="5" t="n">
        <v>0.85</v>
      </c>
      <c r="E21" s="5" t="n">
        <v>0.72</v>
      </c>
      <c r="F21" s="5" t="n">
        <v>0.5</v>
      </c>
      <c r="G21" s="5" t="n">
        <v>0.36</v>
      </c>
      <c r="H21" s="5" t="n">
        <v>0.3</v>
      </c>
      <c r="I21" s="5" t="n">
        <v>0.25</v>
      </c>
      <c r="J21" s="5" t="n">
        <v>0.2</v>
      </c>
      <c r="K21" s="5" t="n">
        <v>0.16</v>
      </c>
      <c r="L21" s="5" t="n">
        <v>0.14</v>
      </c>
      <c r="M21" s="5" t="n">
        <v>0.14</v>
      </c>
    </row>
    <row r="22">
      <c r="A22" t="inlineStr">
        <is>
          <t>3m</t>
        </is>
      </c>
      <c r="B22" s="5" t="n">
        <v>0.65</v>
      </c>
      <c r="C22" s="5" t="n">
        <v>0.85</v>
      </c>
      <c r="D22" s="5" t="n">
        <v>1</v>
      </c>
      <c r="E22" s="5" t="n">
        <v>0.9</v>
      </c>
      <c r="F22" s="5" t="n">
        <v>0.6899999999999999</v>
      </c>
      <c r="G22" s="5" t="n">
        <v>0.53</v>
      </c>
      <c r="H22" s="5" t="n">
        <v>0.46</v>
      </c>
      <c r="I22" s="5" t="n">
        <v>0.4</v>
      </c>
      <c r="J22" s="5" t="n">
        <v>0.34</v>
      </c>
      <c r="K22" s="5" t="n">
        <v>0.27</v>
      </c>
      <c r="L22" s="5" t="n">
        <v>0.25</v>
      </c>
      <c r="M22" s="5" t="n">
        <v>0.25</v>
      </c>
    </row>
    <row r="23">
      <c r="A23" t="inlineStr">
        <is>
          <t>6m</t>
        </is>
      </c>
      <c r="B23" s="5" t="n">
        <v>0.54</v>
      </c>
      <c r="C23" s="5" t="n">
        <v>0.72</v>
      </c>
      <c r="D23" s="5" t="n">
        <v>0.9</v>
      </c>
      <c r="E23" s="5" t="n">
        <v>1</v>
      </c>
      <c r="F23" s="5" t="n">
        <v>0.86</v>
      </c>
      <c r="G23" s="5" t="n">
        <v>0.73</v>
      </c>
      <c r="H23" s="5" t="n">
        <v>0.65</v>
      </c>
      <c r="I23" s="5" t="n">
        <v>0.58</v>
      </c>
      <c r="J23" s="5" t="n">
        <v>0.52</v>
      </c>
      <c r="K23" s="5" t="n">
        <v>0.47</v>
      </c>
      <c r="L23" s="5" t="n">
        <v>0.44</v>
      </c>
      <c r="M23" s="5" t="n">
        <v>0.42</v>
      </c>
    </row>
    <row r="24">
      <c r="A24" t="inlineStr">
        <is>
          <t>1y</t>
        </is>
      </c>
      <c r="B24" s="5" t="n">
        <v>0.4</v>
      </c>
      <c r="C24" s="5" t="n">
        <v>0.5</v>
      </c>
      <c r="D24" s="5" t="n">
        <v>0.6899999999999999</v>
      </c>
      <c r="E24" s="5" t="n">
        <v>0.86</v>
      </c>
      <c r="F24" s="5" t="n">
        <v>1</v>
      </c>
      <c r="G24" s="5" t="n">
        <v>0.9399999999999999</v>
      </c>
      <c r="H24" s="5" t="n">
        <v>0.87</v>
      </c>
      <c r="I24" s="5" t="n">
        <v>0.8100000000000001</v>
      </c>
      <c r="J24" s="5" t="n">
        <v>0.73</v>
      </c>
      <c r="K24" s="5" t="n">
        <v>0.6899999999999999</v>
      </c>
      <c r="L24" s="5" t="n">
        <v>0.64</v>
      </c>
      <c r="M24" s="5" t="n">
        <v>0.63</v>
      </c>
    </row>
    <row r="25">
      <c r="A25" t="inlineStr">
        <is>
          <t>2y</t>
        </is>
      </c>
      <c r="B25" s="5" t="n">
        <v>0.29</v>
      </c>
      <c r="C25" s="5" t="n">
        <v>0.36</v>
      </c>
      <c r="D25" s="5" t="n">
        <v>0.53</v>
      </c>
      <c r="E25" s="5" t="n">
        <v>0.73</v>
      </c>
      <c r="F25" s="5" t="n">
        <v>0.9399999999999999</v>
      </c>
      <c r="G25" s="5" t="n">
        <v>1</v>
      </c>
      <c r="H25" s="5" t="n">
        <v>0.97</v>
      </c>
      <c r="I25" s="5" t="n">
        <v>0.92</v>
      </c>
      <c r="J25" s="5" t="n">
        <v>0.86</v>
      </c>
      <c r="K25" s="5" t="n">
        <v>0.82</v>
      </c>
      <c r="L25" s="5" t="n">
        <v>0.77</v>
      </c>
      <c r="M25" s="5" t="n">
        <v>0.76</v>
      </c>
    </row>
    <row r="26">
      <c r="A26" t="inlineStr">
        <is>
          <t>3y</t>
        </is>
      </c>
      <c r="B26" s="5" t="n">
        <v>0.25</v>
      </c>
      <c r="C26" s="5" t="n">
        <v>0.3</v>
      </c>
      <c r="D26" s="5" t="n">
        <v>0.46</v>
      </c>
      <c r="E26" s="5" t="n">
        <v>0.65</v>
      </c>
      <c r="F26" s="5" t="n">
        <v>0.87</v>
      </c>
      <c r="G26" s="5" t="n">
        <v>0.97</v>
      </c>
      <c r="H26" s="5" t="n">
        <v>1</v>
      </c>
      <c r="I26" s="5" t="n">
        <v>0.97</v>
      </c>
      <c r="J26" s="5" t="n">
        <v>0.91</v>
      </c>
      <c r="K26" s="5" t="n">
        <v>0.87</v>
      </c>
      <c r="L26" s="5" t="n">
        <v>0.82</v>
      </c>
      <c r="M26" s="5" t="n">
        <v>0.8100000000000001</v>
      </c>
    </row>
    <row r="27">
      <c r="A27" t="inlineStr">
        <is>
          <t>5y</t>
        </is>
      </c>
      <c r="B27" s="5" t="n">
        <v>0.22</v>
      </c>
      <c r="C27" s="5" t="n">
        <v>0.25</v>
      </c>
      <c r="D27" s="5" t="n">
        <v>0.4</v>
      </c>
      <c r="E27" s="5" t="n">
        <v>0.58</v>
      </c>
      <c r="F27" s="5" t="n">
        <v>0.8100000000000001</v>
      </c>
      <c r="G27" s="5" t="n">
        <v>0.92</v>
      </c>
      <c r="H27" s="5" t="n">
        <v>0.97</v>
      </c>
      <c r="I27" s="5" t="n">
        <v>1</v>
      </c>
      <c r="J27" s="5" t="n">
        <v>0.96</v>
      </c>
      <c r="K27" s="5" t="n">
        <v>0.93</v>
      </c>
      <c r="L27" s="5" t="n">
        <v>0.89</v>
      </c>
      <c r="M27" s="5" t="n">
        <v>0.88</v>
      </c>
    </row>
    <row r="28">
      <c r="A28" t="inlineStr">
        <is>
          <t>10y</t>
        </is>
      </c>
      <c r="B28" s="5" t="n">
        <v>0.17</v>
      </c>
      <c r="C28" s="5" t="n">
        <v>0.2</v>
      </c>
      <c r="D28" s="5" t="n">
        <v>0.34</v>
      </c>
      <c r="E28" s="5" t="n">
        <v>0.52</v>
      </c>
      <c r="F28" s="5" t="n">
        <v>0.73</v>
      </c>
      <c r="G28" s="5" t="n">
        <v>0.86</v>
      </c>
      <c r="H28" s="5" t="n">
        <v>0.91</v>
      </c>
      <c r="I28" s="5" t="n">
        <v>0.96</v>
      </c>
      <c r="J28" s="5" t="n">
        <v>1</v>
      </c>
      <c r="K28" s="5" t="n">
        <v>0.98</v>
      </c>
      <c r="L28" s="5" t="n">
        <v>0.95</v>
      </c>
      <c r="M28" s="5" t="n">
        <v>0.95</v>
      </c>
    </row>
    <row r="29">
      <c r="A29" t="inlineStr">
        <is>
          <t>15y</t>
        </is>
      </c>
      <c r="B29" s="5" t="n">
        <v>0.16</v>
      </c>
      <c r="C29" s="5" t="n">
        <v>0.16</v>
      </c>
      <c r="D29" s="5" t="n">
        <v>0.27</v>
      </c>
      <c r="E29" s="5" t="n">
        <v>0.47</v>
      </c>
      <c r="F29" s="5" t="n">
        <v>0.6899999999999999</v>
      </c>
      <c r="G29" s="5" t="n">
        <v>0.82</v>
      </c>
      <c r="H29" s="5" t="n">
        <v>0.87</v>
      </c>
      <c r="I29" s="5" t="n">
        <v>0.93</v>
      </c>
      <c r="J29" s="5" t="n">
        <v>0.98</v>
      </c>
      <c r="K29" s="5" t="n">
        <v>1</v>
      </c>
      <c r="L29" s="5" t="n">
        <v>0.98</v>
      </c>
      <c r="M29" s="5" t="n">
        <v>0.97</v>
      </c>
    </row>
    <row r="30">
      <c r="A30" t="inlineStr">
        <is>
          <t>20y</t>
        </is>
      </c>
      <c r="B30" s="5" t="n">
        <v>0.14</v>
      </c>
      <c r="C30" s="5" t="n">
        <v>0.14</v>
      </c>
      <c r="D30" s="5" t="n">
        <v>0.25</v>
      </c>
      <c r="E30" s="5" t="n">
        <v>0.44</v>
      </c>
      <c r="F30" s="5" t="n">
        <v>0.64</v>
      </c>
      <c r="G30" s="5" t="n">
        <v>0.77</v>
      </c>
      <c r="H30" s="5" t="n">
        <v>0.82</v>
      </c>
      <c r="I30" s="5" t="n">
        <v>0.89</v>
      </c>
      <c r="J30" s="5" t="n">
        <v>0.95</v>
      </c>
      <c r="K30" s="5" t="n">
        <v>0.98</v>
      </c>
      <c r="L30" s="5" t="n">
        <v>1</v>
      </c>
      <c r="M30" s="5" t="n">
        <v>0.98</v>
      </c>
    </row>
    <row r="31">
      <c r="A31" t="inlineStr">
        <is>
          <t>30y</t>
        </is>
      </c>
      <c r="B31" s="5" t="n">
        <v>0.14</v>
      </c>
      <c r="C31" s="5" t="n">
        <v>0.14</v>
      </c>
      <c r="D31" s="5" t="n">
        <v>0.25</v>
      </c>
      <c r="E31" s="5" t="n">
        <v>0.42</v>
      </c>
      <c r="F31" s="5" t="n">
        <v>0.63</v>
      </c>
      <c r="G31" s="5" t="n">
        <v>0.76</v>
      </c>
      <c r="H31" s="5" t="n">
        <v>0.8100000000000001</v>
      </c>
      <c r="I31" s="5" t="n">
        <v>0.88</v>
      </c>
      <c r="J31" s="5" t="n">
        <v>0.95</v>
      </c>
      <c r="K31" s="5" t="n">
        <v>0.97</v>
      </c>
      <c r="L31" s="5" t="n">
        <v>0.98</v>
      </c>
      <c r="M31" s="5" t="n">
        <v>1</v>
      </c>
    </row>
    <row r="32"/>
    <row r="33">
      <c r="A33" s="2">
        <f>==== FX RISK WEIGHTS (paragraph 69) =====</f>
        <v/>
      </c>
    </row>
    <row r="34">
      <c r="B34" t="inlineStr">
        <is>
          <t>Calc=Regular</t>
        </is>
      </c>
      <c r="C34" t="inlineStr">
        <is>
          <t>Calc=High</t>
        </is>
      </c>
    </row>
    <row r="35">
      <c r="A35" t="inlineStr">
        <is>
          <t>Currency vol group: Regular</t>
        </is>
      </c>
      <c r="B35" s="5" t="n">
        <v>7.1</v>
      </c>
      <c r="C35" s="5" t="n">
        <v>18</v>
      </c>
    </row>
    <row r="36">
      <c r="A36" t="inlineStr">
        <is>
          <t>Currency vol group: High</t>
        </is>
      </c>
      <c r="B36" s="5" t="n">
        <v>18</v>
      </c>
      <c r="C36" s="5" t="n">
        <v>30.6</v>
      </c>
    </row>
    <row r="37"/>
    <row r="38">
      <c r="A38" t="inlineStr">
        <is>
          <t>HVR_FX</t>
        </is>
      </c>
      <c r="B38" s="5" t="n">
        <v>0.68</v>
      </c>
    </row>
    <row r="39">
      <c r="A39" t="inlineStr">
        <is>
          <t>VRW_FX</t>
        </is>
      </c>
      <c r="B39" s="5" t="n">
        <v>0.34</v>
      </c>
    </row>
    <row r="40">
      <c r="A40" t="inlineStr">
        <is>
          <t>FX vega/curv pair correlation</t>
        </is>
      </c>
      <c r="B40" s="5" t="n">
        <v>0.5</v>
      </c>
    </row>
    <row r="41"/>
    <row r="42">
      <c r="A42" s="2">
        <f>==== FX CORRELATIONS (paragraph 72) =====</f>
        <v/>
      </c>
    </row>
    <row r="43">
      <c r="A43" t="inlineStr">
        <is>
          <t>Calc currency: Regular</t>
        </is>
      </c>
    </row>
    <row r="44">
      <c r="A44" t="inlineStr">
        <is>
          <t xml:space="preserve">  reg-reg</t>
        </is>
      </c>
      <c r="B44" s="5" t="n">
        <v>0.5</v>
      </c>
    </row>
    <row r="45">
      <c r="A45" t="inlineStr">
        <is>
          <t xml:space="preserve">  reg-high</t>
        </is>
      </c>
      <c r="B45" s="5" t="n">
        <v>0.2</v>
      </c>
    </row>
    <row r="46">
      <c r="A46" t="inlineStr">
        <is>
          <t xml:space="preserve">  high-high</t>
        </is>
      </c>
      <c r="B46" s="5" t="n">
        <v>0.08</v>
      </c>
    </row>
    <row r="47">
      <c r="A47" t="inlineStr">
        <is>
          <t>Calc currency: High</t>
        </is>
      </c>
    </row>
    <row r="48">
      <c r="A48" t="inlineStr">
        <is>
          <t xml:space="preserve">  reg-reg</t>
        </is>
      </c>
      <c r="B48" s="5" t="n">
        <v>0.92</v>
      </c>
    </row>
    <row r="49">
      <c r="A49" t="inlineStr">
        <is>
          <t xml:space="preserve">  reg-high</t>
        </is>
      </c>
      <c r="B49" s="5" t="n">
        <v>0.68</v>
      </c>
    </row>
    <row r="50">
      <c r="A50" t="inlineStr">
        <is>
          <t xml:space="preserve">  high-high</t>
        </is>
      </c>
      <c r="B50" s="5" t="n">
        <v>0.5</v>
      </c>
    </row>
    <row r="51"/>
    <row r="52">
      <c r="A52" s="2">
        <f>==== FX DELTA CONCENTRATION THRESHOLDS (paragraph 80) =====</f>
        <v/>
      </c>
    </row>
    <row r="53">
      <c r="A53" t="inlineStr">
        <is>
          <t>Cat 1 (USD/EUR/JPY/GBP/AUD/CHF/CAD)</t>
        </is>
      </c>
      <c r="B53" s="5" t="n">
        <v>3100</v>
      </c>
    </row>
    <row r="54">
      <c r="A54" t="inlineStr">
        <is>
          <t>Cat 2 (BRL/CNY/HKD/INR/KRW/etc.)</t>
        </is>
      </c>
      <c r="B54" s="5" t="n">
        <v>950</v>
      </c>
    </row>
    <row r="55">
      <c r="A55" t="inlineStr">
        <is>
          <t>Cat 3 (other)</t>
        </is>
      </c>
      <c r="B55" s="5" t="n">
        <v>160</v>
      </c>
    </row>
    <row r="56"/>
    <row r="57"/>
    <row r="58">
      <c r="A58" s="2">
        <f>==== IR CONCENTRATION THRESHOLDS (paragraph 74) =====</f>
        <v/>
      </c>
    </row>
    <row r="59">
      <c r="A59" t="inlineStr">
        <is>
          <t>Delta high vol</t>
        </is>
      </c>
      <c r="B59" s="5" t="n">
        <v>51</v>
      </c>
    </row>
    <row r="60">
      <c r="A60" t="inlineStr">
        <is>
          <t>Delta regular well-traded</t>
        </is>
      </c>
      <c r="B60" s="5" t="n">
        <v>210</v>
      </c>
    </row>
    <row r="61">
      <c r="A61" t="inlineStr">
        <is>
          <t>Delta regular less-traded</t>
        </is>
      </c>
      <c r="B61" s="5" t="n">
        <v>100</v>
      </c>
    </row>
    <row r="62">
      <c r="A62" t="inlineStr">
        <is>
          <t>Delta low (JPY)</t>
        </is>
      </c>
      <c r="B62" s="5" t="n">
        <v>230</v>
      </c>
    </row>
    <row r="63"/>
    <row r="64"/>
    <row r="65"/>
    <row r="66"/>
    <row r="67"/>
    <row r="68">
      <c r="A68" s="2">
        <f>==== INTER-RISK-CLASS (paragraph 88) =====</f>
        <v/>
      </c>
    </row>
    <row r="69">
      <c r="A69" t="inlineStr">
        <is>
          <t>ψ_IR_FX</t>
        </is>
      </c>
      <c r="B69" s="5" t="n">
        <v>0.1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3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IR Risk Class — Live Formula Trace</t>
        </is>
      </c>
    </row>
    <row r="3">
      <c r="A3" t="inlineStr">
        <is>
          <t>Methodology: ISDA SIMM v2.8+2506, paragraphs 7, 10, 11.</t>
        </is>
      </c>
    </row>
    <row r="4">
      <c r="A4" t="inlineStr">
        <is>
          <t>Per-row WS = RW (from Parameters) × s (from Inputs) × CR.</t>
        </is>
      </c>
    </row>
    <row r="5">
      <c r="A5" t="inlineStr">
        <is>
          <t>Per-currency K_b is computed via explicit cross-correlation pair listing — change any sensitivity and K_b updates.</t>
        </is>
      </c>
    </row>
    <row r="7">
      <c r="A7" s="2">
        <f>===============================================================</f>
        <v/>
      </c>
    </row>
    <row r="8">
      <c r="A8" t="inlineStr">
        <is>
          <t>IR DELTA (paragraph 7)</t>
        </is>
      </c>
    </row>
    <row r="9">
      <c r="A9" s="2">
        <f>===============================================================</f>
        <v/>
      </c>
    </row>
    <row r="11">
      <c r="A11" s="2" t="inlineStr">
        <is>
          <t>--- Currency: USD ---</t>
        </is>
      </c>
    </row>
    <row r="13">
      <c r="A13" t="inlineStr">
        <is>
          <t>Per-factor weighted sensitivities:</t>
        </is>
      </c>
    </row>
    <row r="14">
      <c r="A14" t="inlineStr">
        <is>
          <t>Kind</t>
        </is>
      </c>
      <c r="B14" t="inlineStr">
        <is>
          <t>Tenor</t>
        </is>
      </c>
      <c r="C14" t="inlineStr">
        <is>
          <t>Sub-curve</t>
        </is>
      </c>
      <c r="D14" t="inlineStr">
        <is>
          <t>s (from Inputs)</t>
        </is>
      </c>
      <c r="E14" t="inlineStr">
        <is>
          <t>RW (from Parameters)</t>
        </is>
      </c>
      <c r="F14" t="inlineStr">
        <is>
          <t>CR applied</t>
        </is>
      </c>
      <c r="G14" t="inlineStr">
        <is>
          <t>WS = RW · s · CR</t>
        </is>
      </c>
    </row>
    <row r="15">
      <c r="A15" t="inlineStr">
        <is>
          <t>curve</t>
        </is>
      </c>
      <c r="B15" t="inlineStr">
        <is>
          <t>2y</t>
        </is>
      </c>
      <c r="C15" t="inlineStr">
        <is>
          <t>OIS</t>
        </is>
      </c>
      <c r="D15" s="4">
        <f>Inputs!$G$7</f>
        <v/>
      </c>
      <c r="E15" s="4">
        <f>Parameters!$G$5</f>
        <v/>
      </c>
      <c r="F15" s="4">
        <f>B24</f>
        <v/>
      </c>
      <c r="G15" s="4">
        <f>D15*E15*F15</f>
        <v/>
      </c>
    </row>
    <row r="16">
      <c r="A16" t="inlineStr">
        <is>
          <t>curve</t>
        </is>
      </c>
      <c r="B16" t="inlineStr">
        <is>
          <t>5y</t>
        </is>
      </c>
      <c r="C16" t="inlineStr">
        <is>
          <t>OIS</t>
        </is>
      </c>
      <c r="D16" s="4">
        <f>Inputs!$G$8</f>
        <v/>
      </c>
      <c r="E16" s="4">
        <f>Parameters!$I$5</f>
        <v/>
      </c>
      <c r="F16" s="4">
        <f>B24</f>
        <v/>
      </c>
      <c r="G16" s="4">
        <f>D16*E16*F16</f>
        <v/>
      </c>
    </row>
    <row r="17">
      <c r="A17" t="inlineStr">
        <is>
          <t>curve</t>
        </is>
      </c>
      <c r="B17" t="inlineStr">
        <is>
          <t>10y</t>
        </is>
      </c>
      <c r="C17" t="inlineStr">
        <is>
          <t>OIS</t>
        </is>
      </c>
      <c r="D17" s="4">
        <f>Inputs!$G$9</f>
        <v/>
      </c>
      <c r="E17" s="4">
        <f>Parameters!$J$5</f>
        <v/>
      </c>
      <c r="F17" s="4">
        <f>B24</f>
        <v/>
      </c>
      <c r="G17" s="4">
        <f>D17*E17*F17</f>
        <v/>
      </c>
    </row>
    <row r="18">
      <c r="A18" t="inlineStr">
        <is>
          <t>curve</t>
        </is>
      </c>
      <c r="B18" t="inlineStr">
        <is>
          <t>15y</t>
        </is>
      </c>
      <c r="C18" t="inlineStr">
        <is>
          <t>OIS</t>
        </is>
      </c>
      <c r="D18" s="4">
        <f>Inputs!$G$10</f>
        <v/>
      </c>
      <c r="E18" s="4">
        <f>Parameters!$K$5</f>
        <v/>
      </c>
      <c r="F18" s="4">
        <f>B24</f>
        <v/>
      </c>
      <c r="G18" s="4">
        <f>D18*E18*F18</f>
        <v/>
      </c>
    </row>
    <row r="19">
      <c r="A19" t="inlineStr">
        <is>
          <t>curve</t>
        </is>
      </c>
      <c r="B19" t="inlineStr">
        <is>
          <t>30y</t>
        </is>
      </c>
      <c r="C19" t="inlineStr">
        <is>
          <t>OIS</t>
        </is>
      </c>
      <c r="D19" s="4">
        <f>Inputs!$G$11</f>
        <v/>
      </c>
      <c r="E19" s="4">
        <f>Parameters!$M$5</f>
        <v/>
      </c>
      <c r="F19" s="4">
        <f>B24</f>
        <v/>
      </c>
      <c r="G19" s="4">
        <f>D19*E19*F19</f>
        <v/>
      </c>
    </row>
    <row r="20">
      <c r="A20" t="inlineStr">
        <is>
          <t>inflation</t>
        </is>
      </c>
      <c r="B20" t="inlineStr">
        <is>
          <t>-</t>
        </is>
      </c>
      <c r="C20" t="inlineStr">
        <is>
          <t>-</t>
        </is>
      </c>
      <c r="D20" s="4">
        <f>Inputs!$G$16</f>
        <v/>
      </c>
      <c r="E20" s="4">
        <f>Parameters!$B$9</f>
        <v/>
      </c>
      <c r="F20" s="4">
        <f>B24</f>
        <v/>
      </c>
      <c r="G20" s="4">
        <f>D20*E20*F20</f>
        <v/>
      </c>
    </row>
    <row r="22">
      <c r="A22" t="inlineStr">
        <is>
          <t>Σs (curve + inflation, no xccy):</t>
        </is>
      </c>
      <c r="B22" s="4">
        <f>D15+D16+D17+D18+D19+D20</f>
        <v/>
      </c>
    </row>
    <row r="23">
      <c r="A23" t="inlineStr">
        <is>
          <t>T_b (concentration threshold, USD mm/bp):</t>
        </is>
      </c>
      <c r="B23" s="4">
        <f>Parameters!$B$60</f>
        <v/>
      </c>
    </row>
    <row r="24">
      <c r="A24" t="inlineStr">
        <is>
          <t>CR = MAX(1, SQRT(ABS(Σs)/1e6 / T_b)):</t>
        </is>
      </c>
      <c r="B24" s="4">
        <f>MAX(1,SQRT(ABS(B22)/1000000/B23))</f>
        <v/>
      </c>
    </row>
    <row r="26">
      <c r="A26" t="inlineStr">
        <is>
          <t>Cross-correlation pair contributions to K_b²:</t>
        </is>
      </c>
    </row>
    <row r="27">
      <c r="A27" t="inlineStr">
        <is>
          <t>Factor i</t>
        </is>
      </c>
      <c r="B27" t="inlineStr">
        <is>
          <t>Factor j</t>
        </is>
      </c>
      <c r="C27" t="inlineStr">
        <is>
          <t>ρ</t>
        </is>
      </c>
      <c r="D27" t="inlineStr">
        <is>
          <t>WS_i</t>
        </is>
      </c>
      <c r="E27" t="inlineStr">
        <is>
          <t>WS_j</t>
        </is>
      </c>
      <c r="F27" t="inlineStr">
        <is>
          <t>2·ρ·WS_i·WS_j</t>
        </is>
      </c>
    </row>
    <row r="28">
      <c r="A28" t="inlineStr">
        <is>
          <t>curve/2y/OIS</t>
        </is>
      </c>
      <c r="B28" t="inlineStr">
        <is>
          <t>curve/5y/OIS</t>
        </is>
      </c>
      <c r="C28" s="4">
        <f>Parameters!$I$25</f>
        <v/>
      </c>
      <c r="D28" s="4">
        <f>G15</f>
        <v/>
      </c>
      <c r="E28" s="4">
        <f>G16</f>
        <v/>
      </c>
      <c r="F28" s="4">
        <f>2*C28*D28*E28</f>
        <v/>
      </c>
    </row>
    <row r="29">
      <c r="A29" t="inlineStr">
        <is>
          <t>curve/2y/OIS</t>
        </is>
      </c>
      <c r="B29" t="inlineStr">
        <is>
          <t>curve/10y/OIS</t>
        </is>
      </c>
      <c r="C29" s="4">
        <f>Parameters!$J$25</f>
        <v/>
      </c>
      <c r="D29" s="4">
        <f>G15</f>
        <v/>
      </c>
      <c r="E29" s="4">
        <f>G17</f>
        <v/>
      </c>
      <c r="F29" s="4">
        <f>2*C29*D29*E29</f>
        <v/>
      </c>
    </row>
    <row r="30">
      <c r="A30" t="inlineStr">
        <is>
          <t>curve/2y/OIS</t>
        </is>
      </c>
      <c r="B30" t="inlineStr">
        <is>
          <t>curve/15y/OIS</t>
        </is>
      </c>
      <c r="C30" s="4">
        <f>Parameters!$K$25</f>
        <v/>
      </c>
      <c r="D30" s="4">
        <f>G15</f>
        <v/>
      </c>
      <c r="E30" s="4">
        <f>G18</f>
        <v/>
      </c>
      <c r="F30" s="4">
        <f>2*C30*D30*E30</f>
        <v/>
      </c>
    </row>
    <row r="31">
      <c r="A31" t="inlineStr">
        <is>
          <t>curve/2y/OIS</t>
        </is>
      </c>
      <c r="B31" t="inlineStr">
        <is>
          <t>curve/30y/OIS</t>
        </is>
      </c>
      <c r="C31" s="4">
        <f>Parameters!$M$25</f>
        <v/>
      </c>
      <c r="D31" s="4">
        <f>G15</f>
        <v/>
      </c>
      <c r="E31" s="4">
        <f>G19</f>
        <v/>
      </c>
      <c r="F31" s="4">
        <f>2*C31*D31*E31</f>
        <v/>
      </c>
    </row>
    <row r="32">
      <c r="A32" t="inlineStr">
        <is>
          <t>curve/2y/OIS</t>
        </is>
      </c>
      <c r="B32" t="inlineStr">
        <is>
          <t>inflation/-/-</t>
        </is>
      </c>
      <c r="C32" s="4">
        <f>Parameters!$B$14</f>
        <v/>
      </c>
      <c r="D32" s="4">
        <f>G15</f>
        <v/>
      </c>
      <c r="E32" s="4">
        <f>G20</f>
        <v/>
      </c>
      <c r="F32" s="4">
        <f>2*C32*D32*E32</f>
        <v/>
      </c>
    </row>
    <row r="33">
      <c r="A33" t="inlineStr">
        <is>
          <t>curve/5y/OIS</t>
        </is>
      </c>
      <c r="B33" t="inlineStr">
        <is>
          <t>curve/10y/OIS</t>
        </is>
      </c>
      <c r="C33" s="4">
        <f>Parameters!$J$27</f>
        <v/>
      </c>
      <c r="D33" s="4">
        <f>G16</f>
        <v/>
      </c>
      <c r="E33" s="4">
        <f>G17</f>
        <v/>
      </c>
      <c r="F33" s="4">
        <f>2*C33*D33*E33</f>
        <v/>
      </c>
    </row>
    <row r="34">
      <c r="A34" t="inlineStr">
        <is>
          <t>curve/5y/OIS</t>
        </is>
      </c>
      <c r="B34" t="inlineStr">
        <is>
          <t>curve/15y/OIS</t>
        </is>
      </c>
      <c r="C34" s="4">
        <f>Parameters!$K$27</f>
        <v/>
      </c>
      <c r="D34" s="4">
        <f>G16</f>
        <v/>
      </c>
      <c r="E34" s="4">
        <f>G18</f>
        <v/>
      </c>
      <c r="F34" s="4">
        <f>2*C34*D34*E34</f>
        <v/>
      </c>
    </row>
    <row r="35">
      <c r="A35" t="inlineStr">
        <is>
          <t>curve/5y/OIS</t>
        </is>
      </c>
      <c r="B35" t="inlineStr">
        <is>
          <t>curve/30y/OIS</t>
        </is>
      </c>
      <c r="C35" s="4">
        <f>Parameters!$M$27</f>
        <v/>
      </c>
      <c r="D35" s="4">
        <f>G16</f>
        <v/>
      </c>
      <c r="E35" s="4">
        <f>G19</f>
        <v/>
      </c>
      <c r="F35" s="4">
        <f>2*C35*D35*E35</f>
        <v/>
      </c>
    </row>
    <row r="36">
      <c r="A36" t="inlineStr">
        <is>
          <t>curve/5y/OIS</t>
        </is>
      </c>
      <c r="B36" t="inlineStr">
        <is>
          <t>inflation/-/-</t>
        </is>
      </c>
      <c r="C36" s="4">
        <f>Parameters!$B$14</f>
        <v/>
      </c>
      <c r="D36" s="4">
        <f>G16</f>
        <v/>
      </c>
      <c r="E36" s="4">
        <f>G20</f>
        <v/>
      </c>
      <c r="F36" s="4">
        <f>2*C36*D36*E36</f>
        <v/>
      </c>
    </row>
    <row r="37">
      <c r="A37" t="inlineStr">
        <is>
          <t>curve/10y/OIS</t>
        </is>
      </c>
      <c r="B37" t="inlineStr">
        <is>
          <t>curve/15y/OIS</t>
        </is>
      </c>
      <c r="C37" s="4">
        <f>Parameters!$K$28</f>
        <v/>
      </c>
      <c r="D37" s="4">
        <f>G17</f>
        <v/>
      </c>
      <c r="E37" s="4">
        <f>G18</f>
        <v/>
      </c>
      <c r="F37" s="4">
        <f>2*C37*D37*E37</f>
        <v/>
      </c>
    </row>
    <row r="38">
      <c r="A38" t="inlineStr">
        <is>
          <t>curve/10y/OIS</t>
        </is>
      </c>
      <c r="B38" t="inlineStr">
        <is>
          <t>curve/30y/OIS</t>
        </is>
      </c>
      <c r="C38" s="4">
        <f>Parameters!$M$28</f>
        <v/>
      </c>
      <c r="D38" s="4">
        <f>G17</f>
        <v/>
      </c>
      <c r="E38" s="4">
        <f>G19</f>
        <v/>
      </c>
      <c r="F38" s="4">
        <f>2*C38*D38*E38</f>
        <v/>
      </c>
    </row>
    <row r="39">
      <c r="A39" t="inlineStr">
        <is>
          <t>curve/10y/OIS</t>
        </is>
      </c>
      <c r="B39" t="inlineStr">
        <is>
          <t>inflation/-/-</t>
        </is>
      </c>
      <c r="C39" s="4">
        <f>Parameters!$B$14</f>
        <v/>
      </c>
      <c r="D39" s="4">
        <f>G17</f>
        <v/>
      </c>
      <c r="E39" s="4">
        <f>G20</f>
        <v/>
      </c>
      <c r="F39" s="4">
        <f>2*C39*D39*E39</f>
        <v/>
      </c>
    </row>
    <row r="40">
      <c r="A40" t="inlineStr">
        <is>
          <t>curve/15y/OIS</t>
        </is>
      </c>
      <c r="B40" t="inlineStr">
        <is>
          <t>curve/30y/OIS</t>
        </is>
      </c>
      <c r="C40" s="4">
        <f>Parameters!$M$29</f>
        <v/>
      </c>
      <c r="D40" s="4">
        <f>G18</f>
        <v/>
      </c>
      <c r="E40" s="4">
        <f>G19</f>
        <v/>
      </c>
      <c r="F40" s="4">
        <f>2*C40*D40*E40</f>
        <v/>
      </c>
    </row>
    <row r="41">
      <c r="A41" t="inlineStr">
        <is>
          <t>curve/15y/OIS</t>
        </is>
      </c>
      <c r="B41" t="inlineStr">
        <is>
          <t>inflation/-/-</t>
        </is>
      </c>
      <c r="C41" s="4">
        <f>Parameters!$B$14</f>
        <v/>
      </c>
      <c r="D41" s="4">
        <f>G18</f>
        <v/>
      </c>
      <c r="E41" s="4">
        <f>G20</f>
        <v/>
      </c>
      <c r="F41" s="4">
        <f>2*C41*D41*E41</f>
        <v/>
      </c>
    </row>
    <row r="42">
      <c r="A42" t="inlineStr">
        <is>
          <t>curve/30y/OIS</t>
        </is>
      </c>
      <c r="B42" t="inlineStr">
        <is>
          <t>inflation/-/-</t>
        </is>
      </c>
      <c r="C42" s="4">
        <f>Parameters!$B$14</f>
        <v/>
      </c>
      <c r="D42" s="4">
        <f>G19</f>
        <v/>
      </c>
      <c r="E42" s="4">
        <f>G20</f>
        <v/>
      </c>
      <c r="F42" s="4">
        <f>2*C42*D42*E42</f>
        <v/>
      </c>
    </row>
    <row r="44">
      <c r="A44" t="inlineStr">
        <is>
          <t>K_b² = SUMSQ(WS) + Σ pair contributions:</t>
        </is>
      </c>
      <c r="B44" s="4">
        <f>SUMSQ(G15:G20)+SUM(F28:F42)</f>
        <v/>
      </c>
    </row>
    <row r="45">
      <c r="A45" t="inlineStr">
        <is>
          <t>K_b = SQRT(K_b²):</t>
        </is>
      </c>
      <c r="B45" s="4">
        <f>SQRT(B44)</f>
        <v/>
      </c>
    </row>
    <row r="46">
      <c r="A46" t="inlineStr">
        <is>
          <t>ΣWS:</t>
        </is>
      </c>
      <c r="B46" s="4">
        <f>SUM(G15:G20)</f>
        <v/>
      </c>
    </row>
    <row r="47">
      <c r="A47" t="inlineStr">
        <is>
          <t>S_b = MAX(MIN(ΣWS, K_b), -K_b):</t>
        </is>
      </c>
      <c r="B47" s="4">
        <f>MAX(MIN(B46,B45),-B45)</f>
        <v/>
      </c>
    </row>
    <row r="49">
      <c r="A49" s="2" t="inlineStr">
        <is>
          <t>--- Currency: EUR ---</t>
        </is>
      </c>
    </row>
    <row r="51">
      <c r="A51" t="inlineStr">
        <is>
          <t>Per-factor weighted sensitivities:</t>
        </is>
      </c>
    </row>
    <row r="52">
      <c r="A52" t="inlineStr">
        <is>
          <t>Kind</t>
        </is>
      </c>
      <c r="B52" t="inlineStr">
        <is>
          <t>Tenor</t>
        </is>
      </c>
      <c r="C52" t="inlineStr">
        <is>
          <t>Sub-curve</t>
        </is>
      </c>
      <c r="D52" t="inlineStr">
        <is>
          <t>s (from Inputs)</t>
        </is>
      </c>
      <c r="E52" t="inlineStr">
        <is>
          <t>RW (from Parameters)</t>
        </is>
      </c>
      <c r="F52" t="inlineStr">
        <is>
          <t>CR applied</t>
        </is>
      </c>
      <c r="G52" t="inlineStr">
        <is>
          <t>WS = RW · s · CR</t>
        </is>
      </c>
    </row>
    <row r="53">
      <c r="A53" t="inlineStr">
        <is>
          <t>curve</t>
        </is>
      </c>
      <c r="B53" t="inlineStr">
        <is>
          <t>5y</t>
        </is>
      </c>
      <c r="C53" t="inlineStr">
        <is>
          <t>OIS</t>
        </is>
      </c>
      <c r="D53" s="4">
        <f>Inputs!$G$12</f>
        <v/>
      </c>
      <c r="E53" s="4">
        <f>Parameters!$I$5</f>
        <v/>
      </c>
      <c r="F53" s="4">
        <f>B59</f>
        <v/>
      </c>
      <c r="G53" s="4">
        <f>D53*E53*F53</f>
        <v/>
      </c>
    </row>
    <row r="54">
      <c r="A54" t="inlineStr">
        <is>
          <t>curve</t>
        </is>
      </c>
      <c r="B54" t="inlineStr">
        <is>
          <t>10y</t>
        </is>
      </c>
      <c r="C54" t="inlineStr">
        <is>
          <t>OIS</t>
        </is>
      </c>
      <c r="D54" s="4">
        <f>Inputs!$G$13</f>
        <v/>
      </c>
      <c r="E54" s="4">
        <f>Parameters!$J$5</f>
        <v/>
      </c>
      <c r="F54" s="4">
        <f>B59</f>
        <v/>
      </c>
      <c r="G54" s="4">
        <f>D54*E54*F54</f>
        <v/>
      </c>
    </row>
    <row r="55">
      <c r="A55" t="inlineStr">
        <is>
          <t>xccy</t>
        </is>
      </c>
      <c r="B55" t="inlineStr">
        <is>
          <t>-</t>
        </is>
      </c>
      <c r="C55" t="inlineStr">
        <is>
          <t>-</t>
        </is>
      </c>
      <c r="D55" s="4">
        <f>Inputs!$G$17</f>
        <v/>
      </c>
      <c r="E55" s="4">
        <f>Parameters!$B$10</f>
        <v/>
      </c>
      <c r="F55" t="n">
        <v>1</v>
      </c>
      <c r="G55" s="4">
        <f>D55*E55*F55</f>
        <v/>
      </c>
    </row>
    <row r="57">
      <c r="A57" t="inlineStr">
        <is>
          <t>Σs (curve + inflation, no xccy):</t>
        </is>
      </c>
      <c r="B57" s="4">
        <f>D53+D54</f>
        <v/>
      </c>
    </row>
    <row r="58">
      <c r="A58" t="inlineStr">
        <is>
          <t>T_b (concentration threshold, USD mm/bp):</t>
        </is>
      </c>
      <c r="B58" s="4">
        <f>Parameters!$B$60</f>
        <v/>
      </c>
    </row>
    <row r="59">
      <c r="A59" t="inlineStr">
        <is>
          <t>CR = MAX(1, SQRT(ABS(Σs)/1e6 / T_b)):</t>
        </is>
      </c>
      <c r="B59" s="4">
        <f>MAX(1,SQRT(ABS(B57)/1000000/B58))</f>
        <v/>
      </c>
    </row>
    <row r="61">
      <c r="A61" t="inlineStr">
        <is>
          <t>Cross-correlation pair contributions to K_b²:</t>
        </is>
      </c>
    </row>
    <row r="62">
      <c r="A62" t="inlineStr">
        <is>
          <t>Factor i</t>
        </is>
      </c>
      <c r="B62" t="inlineStr">
        <is>
          <t>Factor j</t>
        </is>
      </c>
      <c r="C62" t="inlineStr">
        <is>
          <t>ρ</t>
        </is>
      </c>
      <c r="D62" t="inlineStr">
        <is>
          <t>WS_i</t>
        </is>
      </c>
      <c r="E62" t="inlineStr">
        <is>
          <t>WS_j</t>
        </is>
      </c>
      <c r="F62" t="inlineStr">
        <is>
          <t>2·ρ·WS_i·WS_j</t>
        </is>
      </c>
    </row>
    <row r="63">
      <c r="A63" t="inlineStr">
        <is>
          <t>curve/5y/OIS</t>
        </is>
      </c>
      <c r="B63" t="inlineStr">
        <is>
          <t>curve/10y/OIS</t>
        </is>
      </c>
      <c r="C63" s="4">
        <f>Parameters!$J$27</f>
        <v/>
      </c>
      <c r="D63" s="4">
        <f>G53</f>
        <v/>
      </c>
      <c r="E63" s="4">
        <f>G54</f>
        <v/>
      </c>
      <c r="F63" s="4">
        <f>2*C63*D63*E63</f>
        <v/>
      </c>
    </row>
    <row r="64">
      <c r="A64" t="inlineStr">
        <is>
          <t>curve/5y/OIS</t>
        </is>
      </c>
      <c r="B64" t="inlineStr">
        <is>
          <t>xccy/-/-</t>
        </is>
      </c>
      <c r="C64" s="4">
        <f>Parameters!$B$15</f>
        <v/>
      </c>
      <c r="D64" s="4">
        <f>G53</f>
        <v/>
      </c>
      <c r="E64" s="4">
        <f>G55</f>
        <v/>
      </c>
      <c r="F64" s="4">
        <f>2*C64*D64*E64</f>
        <v/>
      </c>
    </row>
    <row r="65">
      <c r="A65" t="inlineStr">
        <is>
          <t>curve/10y/OIS</t>
        </is>
      </c>
      <c r="B65" t="inlineStr">
        <is>
          <t>xccy/-/-</t>
        </is>
      </c>
      <c r="C65" s="4">
        <f>Parameters!$B$15</f>
        <v/>
      </c>
      <c r="D65" s="4">
        <f>G54</f>
        <v/>
      </c>
      <c r="E65" s="4">
        <f>G55</f>
        <v/>
      </c>
      <c r="F65" s="4">
        <f>2*C65*D65*E65</f>
        <v/>
      </c>
    </row>
    <row r="67">
      <c r="A67" t="inlineStr">
        <is>
          <t>K_b² = SUMSQ(WS) + Σ pair contributions:</t>
        </is>
      </c>
      <c r="B67" s="4">
        <f>SUMSQ(G53:G55)+SUM(F63:F65)</f>
        <v/>
      </c>
    </row>
    <row r="68">
      <c r="A68" t="inlineStr">
        <is>
          <t>K_b = SQRT(K_b²):</t>
        </is>
      </c>
      <c r="B68" s="4">
        <f>SQRT(B67)</f>
        <v/>
      </c>
    </row>
    <row r="69">
      <c r="A69" t="inlineStr">
        <is>
          <t>ΣWS:</t>
        </is>
      </c>
      <c r="B69" s="4">
        <f>SUM(G53:G55)</f>
        <v/>
      </c>
    </row>
    <row r="70">
      <c r="A70" t="inlineStr">
        <is>
          <t>S_b = MAX(MIN(ΣWS, K_b), -K_b):</t>
        </is>
      </c>
      <c r="B70" s="4">
        <f>MAX(MIN(B69,B68),-B68)</f>
        <v/>
      </c>
    </row>
    <row r="72">
      <c r="A72" s="2" t="inlineStr">
        <is>
          <t>--- Currency: GBP ---</t>
        </is>
      </c>
    </row>
    <row r="74">
      <c r="A74" t="inlineStr">
        <is>
          <t>Per-factor weighted sensitivities:</t>
        </is>
      </c>
    </row>
    <row r="75">
      <c r="A75" t="inlineStr">
        <is>
          <t>Kind</t>
        </is>
      </c>
      <c r="B75" t="inlineStr">
        <is>
          <t>Tenor</t>
        </is>
      </c>
      <c r="C75" t="inlineStr">
        <is>
          <t>Sub-curve</t>
        </is>
      </c>
      <c r="D75" t="inlineStr">
        <is>
          <t>s (from Inputs)</t>
        </is>
      </c>
      <c r="E75" t="inlineStr">
        <is>
          <t>RW (from Parameters)</t>
        </is>
      </c>
      <c r="F75" t="inlineStr">
        <is>
          <t>CR applied</t>
        </is>
      </c>
      <c r="G75" t="inlineStr">
        <is>
          <t>WS = RW · s · CR</t>
        </is>
      </c>
    </row>
    <row r="76">
      <c r="A76" t="inlineStr">
        <is>
          <t>curve</t>
        </is>
      </c>
      <c r="B76" t="inlineStr">
        <is>
          <t>5y</t>
        </is>
      </c>
      <c r="C76" t="inlineStr">
        <is>
          <t>OIS</t>
        </is>
      </c>
      <c r="D76" s="4">
        <f>Inputs!$G$14</f>
        <v/>
      </c>
      <c r="E76" s="4">
        <f>Parameters!$I$5</f>
        <v/>
      </c>
      <c r="F76" s="4">
        <f>B80</f>
        <v/>
      </c>
      <c r="G76" s="4">
        <f>D76*E76*F76</f>
        <v/>
      </c>
    </row>
    <row r="78">
      <c r="A78" t="inlineStr">
        <is>
          <t>Σs (curve + inflation, no xccy):</t>
        </is>
      </c>
      <c r="B78" s="4">
        <f>D76</f>
        <v/>
      </c>
    </row>
    <row r="79">
      <c r="A79" t="inlineStr">
        <is>
          <t>T_b (concentration threshold, USD mm/bp):</t>
        </is>
      </c>
      <c r="B79" s="4">
        <f>Parameters!$B$60</f>
        <v/>
      </c>
    </row>
    <row r="80">
      <c r="A80" t="inlineStr">
        <is>
          <t>CR = MAX(1, SQRT(ABS(Σs)/1e6 / T_b)):</t>
        </is>
      </c>
      <c r="B80" s="4">
        <f>MAX(1,SQRT(ABS(B78)/1000000/B79))</f>
        <v/>
      </c>
    </row>
    <row r="82">
      <c r="A82" t="inlineStr">
        <is>
          <t>Cross-correlation pair contributions to K_b²:</t>
        </is>
      </c>
    </row>
    <row r="83">
      <c r="A83" t="inlineStr">
        <is>
          <t>Factor i</t>
        </is>
      </c>
      <c r="B83" t="inlineStr">
        <is>
          <t>Factor j</t>
        </is>
      </c>
      <c r="C83" t="inlineStr">
        <is>
          <t>ρ</t>
        </is>
      </c>
      <c r="D83" t="inlineStr">
        <is>
          <t>WS_i</t>
        </is>
      </c>
      <c r="E83" t="inlineStr">
        <is>
          <t>WS_j</t>
        </is>
      </c>
      <c r="F83" t="inlineStr">
        <is>
          <t>2·ρ·WS_i·WS_j</t>
        </is>
      </c>
    </row>
    <row r="85">
      <c r="A85" t="inlineStr">
        <is>
          <t>K_b² = SUMSQ(WS) + Σ pair contributions:</t>
        </is>
      </c>
      <c r="B85" s="4">
        <f>SUMSQ(G76:G76)</f>
        <v/>
      </c>
    </row>
    <row r="86">
      <c r="A86" t="inlineStr">
        <is>
          <t>K_b = SQRT(K_b²):</t>
        </is>
      </c>
      <c r="B86" s="4">
        <f>SQRT(B85)</f>
        <v/>
      </c>
    </row>
    <row r="87">
      <c r="A87" t="inlineStr">
        <is>
          <t>ΣWS:</t>
        </is>
      </c>
      <c r="B87" s="4">
        <f>SUM(G76:G76)</f>
        <v/>
      </c>
    </row>
    <row r="88">
      <c r="A88" t="inlineStr">
        <is>
          <t>S_b = MAX(MIN(ΣWS, K_b), -K_b):</t>
        </is>
      </c>
      <c r="B88" s="4">
        <f>MAX(MIN(B87,B86),-B86)</f>
        <v/>
      </c>
    </row>
    <row r="90">
      <c r="A90" s="2" t="inlineStr">
        <is>
          <t>--- Currency: JPY ---</t>
        </is>
      </c>
    </row>
    <row r="92">
      <c r="A92" t="inlineStr">
        <is>
          <t>Per-factor weighted sensitivities:</t>
        </is>
      </c>
    </row>
    <row r="93">
      <c r="A93" t="inlineStr">
        <is>
          <t>Kind</t>
        </is>
      </c>
      <c r="B93" t="inlineStr">
        <is>
          <t>Tenor</t>
        </is>
      </c>
      <c r="C93" t="inlineStr">
        <is>
          <t>Sub-curve</t>
        </is>
      </c>
      <c r="D93" t="inlineStr">
        <is>
          <t>s (from Inputs)</t>
        </is>
      </c>
      <c r="E93" t="inlineStr">
        <is>
          <t>RW (from Parameters)</t>
        </is>
      </c>
      <c r="F93" t="inlineStr">
        <is>
          <t>CR applied</t>
        </is>
      </c>
      <c r="G93" t="inlineStr">
        <is>
          <t>WS = RW · s · CR</t>
        </is>
      </c>
    </row>
    <row r="94">
      <c r="A94" t="inlineStr">
        <is>
          <t>curve</t>
        </is>
      </c>
      <c r="B94" t="inlineStr">
        <is>
          <t>10y</t>
        </is>
      </c>
      <c r="C94" t="inlineStr">
        <is>
          <t>OIS</t>
        </is>
      </c>
      <c r="D94" s="4">
        <f>Inputs!$G$15</f>
        <v/>
      </c>
      <c r="E94" s="4">
        <f>Parameters!$J$6</f>
        <v/>
      </c>
      <c r="F94" s="4">
        <f>B98</f>
        <v/>
      </c>
      <c r="G94" s="4">
        <f>D94*E94*F94</f>
        <v/>
      </c>
    </row>
    <row r="96">
      <c r="A96" t="inlineStr">
        <is>
          <t>Σs (curve + inflation, no xccy):</t>
        </is>
      </c>
      <c r="B96" s="4">
        <f>D94</f>
        <v/>
      </c>
    </row>
    <row r="97">
      <c r="A97" t="inlineStr">
        <is>
          <t>T_b (concentration threshold, USD mm/bp):</t>
        </is>
      </c>
      <c r="B97" s="4">
        <f>Parameters!$B$62</f>
        <v/>
      </c>
    </row>
    <row r="98">
      <c r="A98" t="inlineStr">
        <is>
          <t>CR = MAX(1, SQRT(ABS(Σs)/1e6 / T_b)):</t>
        </is>
      </c>
      <c r="B98" s="4">
        <f>MAX(1,SQRT(ABS(B96)/1000000/B97))</f>
        <v/>
      </c>
    </row>
    <row r="100">
      <c r="A100" t="inlineStr">
        <is>
          <t>Cross-correlation pair contributions to K_b²:</t>
        </is>
      </c>
    </row>
    <row r="101">
      <c r="A101" t="inlineStr">
        <is>
          <t>Factor i</t>
        </is>
      </c>
      <c r="B101" t="inlineStr">
        <is>
          <t>Factor j</t>
        </is>
      </c>
      <c r="C101" t="inlineStr">
        <is>
          <t>ρ</t>
        </is>
      </c>
      <c r="D101" t="inlineStr">
        <is>
          <t>WS_i</t>
        </is>
      </c>
      <c r="E101" t="inlineStr">
        <is>
          <t>WS_j</t>
        </is>
      </c>
      <c r="F101" t="inlineStr">
        <is>
          <t>2·ρ·WS_i·WS_j</t>
        </is>
      </c>
    </row>
    <row r="103">
      <c r="A103" t="inlineStr">
        <is>
          <t>K_b² = SUMSQ(WS) + Σ pair contributions:</t>
        </is>
      </c>
      <c r="B103" s="4">
        <f>SUMSQ(G94:G94)</f>
        <v/>
      </c>
    </row>
    <row r="104">
      <c r="A104" t="inlineStr">
        <is>
          <t>K_b = SQRT(K_b²):</t>
        </is>
      </c>
      <c r="B104" s="4">
        <f>SQRT(B103)</f>
        <v/>
      </c>
    </row>
    <row r="105">
      <c r="A105" t="inlineStr">
        <is>
          <t>ΣWS:</t>
        </is>
      </c>
      <c r="B105" s="4">
        <f>SUM(G94:G94)</f>
        <v/>
      </c>
    </row>
    <row r="106">
      <c r="A106" t="inlineStr">
        <is>
          <t>S_b = MAX(MIN(ΣWS, K_b), -K_b):</t>
        </is>
      </c>
      <c r="B106" s="4">
        <f>MAX(MIN(B105,B104),-B104)</f>
        <v/>
      </c>
    </row>
    <row r="108">
      <c r="A108" s="2">
        <f>========== CROSS-CURRENCY AGGREGATION ===========</f>
        <v/>
      </c>
    </row>
    <row r="110">
      <c r="A110" t="inlineStr">
        <is>
          <t>DeltaMargin = SQRT(Σ K_b² + Σ_{b≠c} 2·γ·g_bc·S_b·S_c)</t>
        </is>
      </c>
    </row>
    <row r="111">
      <c r="A111" t="inlineStr">
        <is>
          <t xml:space="preserve">  γ = Parameters!γ_IR (paragraph 37)</t>
        </is>
      </c>
    </row>
    <row r="112">
      <c r="A112" t="inlineStr">
        <is>
          <t xml:space="preserve">  g_bc = MIN(CR_b, CR_c) / MAX(CR_b, CR_c)</t>
        </is>
      </c>
    </row>
    <row r="114">
      <c r="A114" t="inlineStr">
        <is>
          <t>Σ K_b²:</t>
        </is>
      </c>
      <c r="B114" s="4">
        <f>B45^2+B68^2+B86^2+B104^2</f>
        <v/>
      </c>
    </row>
    <row r="115">
      <c r="A115" t="inlineStr">
        <is>
          <t>Currency pair</t>
        </is>
      </c>
      <c r="B115" t="inlineStr">
        <is>
          <t>γ</t>
        </is>
      </c>
      <c r="C115" t="inlineStr">
        <is>
          <t>CR_b</t>
        </is>
      </c>
      <c r="D115" t="inlineStr">
        <is>
          <t>CR_c</t>
        </is>
      </c>
      <c r="E115" t="inlineStr">
        <is>
          <t>g_bc</t>
        </is>
      </c>
      <c r="F115" t="inlineStr">
        <is>
          <t>S_b</t>
        </is>
      </c>
      <c r="G115" t="inlineStr">
        <is>
          <t>S_c</t>
        </is>
      </c>
      <c r="H115" t="inlineStr">
        <is>
          <t>2·γ·g·S_b·S_c</t>
        </is>
      </c>
    </row>
    <row r="116">
      <c r="A116" t="inlineStr">
        <is>
          <t>USD ↔ EUR</t>
        </is>
      </c>
      <c r="B116" s="4">
        <f>Parameters!$B$16</f>
        <v/>
      </c>
      <c r="C116" s="4">
        <f>B24</f>
        <v/>
      </c>
      <c r="D116" s="4">
        <f>B59</f>
        <v/>
      </c>
      <c r="E116" s="4">
        <f>MIN(B24,B59)/MAX(B24,B59)</f>
        <v/>
      </c>
      <c r="F116" s="4">
        <f>B47</f>
        <v/>
      </c>
      <c r="G116" s="4">
        <f>B70</f>
        <v/>
      </c>
      <c r="H116" s="4">
        <f>2*B116*E116*F116*G116</f>
        <v/>
      </c>
    </row>
    <row r="117">
      <c r="A117" t="inlineStr">
        <is>
          <t>USD ↔ GBP</t>
        </is>
      </c>
      <c r="B117" s="4">
        <f>Parameters!$B$16</f>
        <v/>
      </c>
      <c r="C117" s="4">
        <f>B24</f>
        <v/>
      </c>
      <c r="D117" s="4">
        <f>B80</f>
        <v/>
      </c>
      <c r="E117" s="4">
        <f>MIN(B24,B80)/MAX(B24,B80)</f>
        <v/>
      </c>
      <c r="F117" s="4">
        <f>B47</f>
        <v/>
      </c>
      <c r="G117" s="4">
        <f>B88</f>
        <v/>
      </c>
      <c r="H117" s="4">
        <f>2*B117*E117*F117*G117</f>
        <v/>
      </c>
    </row>
    <row r="118">
      <c r="A118" t="inlineStr">
        <is>
          <t>USD ↔ JPY</t>
        </is>
      </c>
      <c r="B118" s="4">
        <f>Parameters!$B$16</f>
        <v/>
      </c>
      <c r="C118" s="4">
        <f>B24</f>
        <v/>
      </c>
      <c r="D118" s="4">
        <f>B98</f>
        <v/>
      </c>
      <c r="E118" s="4">
        <f>MIN(B24,B98)/MAX(B24,B98)</f>
        <v/>
      </c>
      <c r="F118" s="4">
        <f>B47</f>
        <v/>
      </c>
      <c r="G118" s="4">
        <f>B106</f>
        <v/>
      </c>
      <c r="H118" s="4">
        <f>2*B118*E118*F118*G118</f>
        <v/>
      </c>
    </row>
    <row r="119">
      <c r="A119" t="inlineStr">
        <is>
          <t>EUR ↔ GBP</t>
        </is>
      </c>
      <c r="B119" s="4">
        <f>Parameters!$B$16</f>
        <v/>
      </c>
      <c r="C119" s="4">
        <f>B59</f>
        <v/>
      </c>
      <c r="D119" s="4">
        <f>B80</f>
        <v/>
      </c>
      <c r="E119" s="4">
        <f>MIN(B59,B80)/MAX(B59,B80)</f>
        <v/>
      </c>
      <c r="F119" s="4">
        <f>B70</f>
        <v/>
      </c>
      <c r="G119" s="4">
        <f>B88</f>
        <v/>
      </c>
      <c r="H119" s="4">
        <f>2*B119*E119*F119*G119</f>
        <v/>
      </c>
    </row>
    <row r="120">
      <c r="A120" t="inlineStr">
        <is>
          <t>EUR ↔ JPY</t>
        </is>
      </c>
      <c r="B120" s="4">
        <f>Parameters!$B$16</f>
        <v/>
      </c>
      <c r="C120" s="4">
        <f>B59</f>
        <v/>
      </c>
      <c r="D120" s="4">
        <f>B98</f>
        <v/>
      </c>
      <c r="E120" s="4">
        <f>MIN(B59,B98)/MAX(B59,B98)</f>
        <v/>
      </c>
      <c r="F120" s="4">
        <f>B70</f>
        <v/>
      </c>
      <c r="G120" s="4">
        <f>B106</f>
        <v/>
      </c>
      <c r="H120" s="4">
        <f>2*B120*E120*F120*G120</f>
        <v/>
      </c>
    </row>
    <row r="121">
      <c r="A121" t="inlineStr">
        <is>
          <t>GBP ↔ JPY</t>
        </is>
      </c>
      <c r="B121" s="4">
        <f>Parameters!$B$16</f>
        <v/>
      </c>
      <c r="C121" s="4">
        <f>B80</f>
        <v/>
      </c>
      <c r="D121" s="4">
        <f>B98</f>
        <v/>
      </c>
      <c r="E121" s="4">
        <f>MIN(B80,B98)/MAX(B80,B98)</f>
        <v/>
      </c>
      <c r="F121" s="4">
        <f>B88</f>
        <v/>
      </c>
      <c r="G121" s="4">
        <f>B106</f>
        <v/>
      </c>
      <c r="H121" s="4">
        <f>2*B121*E121*F121*G121</f>
        <v/>
      </c>
    </row>
    <row r="123">
      <c r="A123" t="inlineStr">
        <is>
          <t>Σ cross-currency terms:</t>
        </is>
      </c>
      <c r="B123" s="4">
        <f>SUM(H116:H121)</f>
        <v/>
      </c>
    </row>
    <row r="124">
      <c r="A124" t="inlineStr">
        <is>
          <t>IR DELTA (DeltaMargin) = SQRT(Σ K_b² + Σ cross):</t>
        </is>
      </c>
      <c r="B124" s="4">
        <f>SQRT(MAX(0,B114+B123))</f>
        <v/>
      </c>
    </row>
    <row r="127">
      <c r="A127" s="2">
        <f>===============================================================</f>
        <v/>
      </c>
    </row>
    <row r="128">
      <c r="A128" t="inlineStr">
        <is>
          <t>IR VEGA (paragraph 10)</t>
        </is>
      </c>
    </row>
    <row r="129">
      <c r="A129" s="2">
        <f>===============================================================</f>
        <v/>
      </c>
    </row>
    <row r="130">
      <c r="A130" t="inlineStr">
        <is>
          <t>IR vega calculation uses vol-weighting (σ × dV/dσ); the engine in</t>
        </is>
      </c>
    </row>
    <row r="131">
      <c r="A131" t="inlineStr">
        <is>
          <t>Rijeka multiplies raw vega by an industry-default normal vol per</t>
        </is>
      </c>
    </row>
    <row r="132">
      <c r="A132" t="inlineStr">
        <is>
          <t>currency. Recomputing live in Excel would require maintaining a</t>
        </is>
      </c>
    </row>
    <row r="133">
      <c r="A133" t="inlineStr">
        <is>
          <t>per-currency vol table — keep this as a static value here.</t>
        </is>
      </c>
    </row>
    <row r="134">
      <c r="A134" t="inlineStr">
        <is>
          <t>Static IR Vega result:</t>
        </is>
      </c>
      <c r="B134" t="n">
        <v>231639.4552707956</v>
      </c>
    </row>
    <row r="136">
      <c r="A136" s="2">
        <f>===============================================================</f>
        <v/>
      </c>
    </row>
    <row r="137">
      <c r="A137" t="inlineStr">
        <is>
          <t>IR CURVATURE (paragraph 11)</t>
        </is>
      </c>
    </row>
    <row r="138">
      <c r="A138" s="2">
        <f>===============================================================</f>
        <v/>
      </c>
    </row>
    <row r="139">
      <c r="A139" t="inlineStr">
        <is>
          <t>IR curvature uses scaling function SF(t)·σ·vega and a θ/λ formulation.</t>
        </is>
      </c>
    </row>
    <row r="140">
      <c r="A140" t="inlineStr">
        <is>
          <t>Static IR Curvature result:</t>
        </is>
      </c>
      <c r="B140" t="n">
        <v>43601.6354010158</v>
      </c>
    </row>
    <row r="142">
      <c r="A142" s="2">
        <f>==== IR RISK CLASS IM =====</f>
        <v/>
      </c>
    </row>
    <row r="143">
      <c r="A143" t="inlineStr">
        <is>
          <t>IM_IR = IR Delta + IR Vega + IR Curvature:</t>
        </is>
      </c>
      <c r="B143" s="4">
        <f>B124+B134+B140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FX Risk Class — Live Formula Trace</t>
        </is>
      </c>
    </row>
    <row r="3">
      <c r="A3" t="inlineStr">
        <is>
          <t>Per-row WS = RW (from Parameters) × s (from Inputs) × CR.</t>
        </is>
      </c>
    </row>
    <row r="4">
      <c r="A4" t="inlineStr">
        <is>
          <t>K_b uses explicit pair listing (single FX bucket).</t>
        </is>
      </c>
    </row>
    <row r="6">
      <c r="A6" s="2">
        <f>===============================================================</f>
        <v/>
      </c>
    </row>
    <row r="7">
      <c r="A7" t="inlineStr">
        <is>
          <t>FX DELTA (paragraph 8 + Section H)</t>
        </is>
      </c>
    </row>
    <row r="8">
      <c r="A8" s="2">
        <f>===============================================================</f>
        <v/>
      </c>
    </row>
    <row r="10">
      <c r="A10" t="inlineStr">
        <is>
          <t>Per-factor weighted sensitivities:</t>
        </is>
      </c>
    </row>
    <row r="11">
      <c r="A11" t="inlineStr">
        <is>
          <t>Currency</t>
        </is>
      </c>
      <c r="B11" t="inlineStr">
        <is>
          <t>Vol Group</t>
        </is>
      </c>
      <c r="C11" t="inlineStr">
        <is>
          <t>s (from Inputs)</t>
        </is>
      </c>
      <c r="D11" t="inlineStr">
        <is>
          <t>RW (from Parameters)</t>
        </is>
      </c>
      <c r="E11" t="inlineStr">
        <is>
          <t>CR</t>
        </is>
      </c>
      <c r="F11" t="inlineStr">
        <is>
          <t>WS = RW · s · CR</t>
        </is>
      </c>
    </row>
    <row r="12">
      <c r="A12" t="inlineStr">
        <is>
          <t>EUR</t>
        </is>
      </c>
      <c r="B12" t="inlineStr">
        <is>
          <t>regular</t>
        </is>
      </c>
      <c r="C12" s="4">
        <f>Inputs!$G$21</f>
        <v/>
      </c>
      <c r="D12" s="4">
        <f>Parameters!$B$35</f>
        <v/>
      </c>
      <c r="E12" s="4">
        <f>MAX(1,SQRT(ABS(C12)/1000000/Parameters!$B$53))</f>
        <v/>
      </c>
      <c r="F12" s="4">
        <f>C12*D12*E12</f>
        <v/>
      </c>
    </row>
    <row r="13">
      <c r="A13" t="inlineStr">
        <is>
          <t>GBP</t>
        </is>
      </c>
      <c r="B13" t="inlineStr">
        <is>
          <t>regular</t>
        </is>
      </c>
      <c r="C13" s="4">
        <f>Inputs!$G$22</f>
        <v/>
      </c>
      <c r="D13" s="4">
        <f>Parameters!$B$35</f>
        <v/>
      </c>
      <c r="E13" s="4">
        <f>MAX(1,SQRT(ABS(C13)/1000000/Parameters!$B$53))</f>
        <v/>
      </c>
      <c r="F13" s="4">
        <f>C13*D13*E13</f>
        <v/>
      </c>
    </row>
    <row r="14">
      <c r="A14" t="inlineStr">
        <is>
          <t>JPY</t>
        </is>
      </c>
      <c r="B14" t="inlineStr">
        <is>
          <t>regular</t>
        </is>
      </c>
      <c r="C14" s="4">
        <f>Inputs!$G$23</f>
        <v/>
      </c>
      <c r="D14" s="4">
        <f>Parameters!$B$35</f>
        <v/>
      </c>
      <c r="E14" s="4">
        <f>MAX(1,SQRT(ABS(C14)/1000000/Parameters!$B$53))</f>
        <v/>
      </c>
      <c r="F14" s="4">
        <f>C14*D14*E14</f>
        <v/>
      </c>
    </row>
    <row r="15">
      <c r="A15" t="inlineStr">
        <is>
          <t>BRL</t>
        </is>
      </c>
      <c r="B15" t="inlineStr">
        <is>
          <t>regular</t>
        </is>
      </c>
      <c r="C15" s="4">
        <f>Inputs!$G$24</f>
        <v/>
      </c>
      <c r="D15" s="4">
        <f>Parameters!$B$35</f>
        <v/>
      </c>
      <c r="E15" s="4">
        <f>MAX(1,SQRT(ABS(C15)/1000000/Parameters!$B$54))</f>
        <v/>
      </c>
      <c r="F15" s="4">
        <f>C15*D15*E15</f>
        <v/>
      </c>
    </row>
    <row r="17">
      <c r="A17" t="inlineStr">
        <is>
          <t>Cross-correlation pair contributions:</t>
        </is>
      </c>
    </row>
    <row r="18">
      <c r="A18" t="inlineStr">
        <is>
          <t>Pair</t>
        </is>
      </c>
      <c r="B18" t="inlineStr">
        <is>
          <t>ρ</t>
        </is>
      </c>
      <c r="C18" t="inlineStr">
        <is>
          <t>g_kl (CR ratio)</t>
        </is>
      </c>
      <c r="D18" t="inlineStr">
        <is>
          <t>WS_k</t>
        </is>
      </c>
      <c r="E18" t="inlineStr">
        <is>
          <t>WS_l</t>
        </is>
      </c>
      <c r="F18" t="inlineStr">
        <is>
          <t>2·ρ·g·WS_k·WS_l</t>
        </is>
      </c>
    </row>
    <row r="19">
      <c r="A19" t="inlineStr">
        <is>
          <t>EUR ↔ GBP</t>
        </is>
      </c>
      <c r="B19" s="4">
        <f>Parameters!$B$44</f>
        <v/>
      </c>
      <c r="C19" s="4">
        <f>MIN(E12,E13)/MAX(E12,E13)</f>
        <v/>
      </c>
      <c r="D19" s="4">
        <f>F12</f>
        <v/>
      </c>
      <c r="E19" s="4">
        <f>F13</f>
        <v/>
      </c>
      <c r="F19" s="4">
        <f>2*B19*C19*D19*E19</f>
        <v/>
      </c>
    </row>
    <row r="20">
      <c r="A20" t="inlineStr">
        <is>
          <t>EUR ↔ JPY</t>
        </is>
      </c>
      <c r="B20" s="4">
        <f>Parameters!$B$44</f>
        <v/>
      </c>
      <c r="C20" s="4">
        <f>MIN(E12,E14)/MAX(E12,E14)</f>
        <v/>
      </c>
      <c r="D20" s="4">
        <f>F12</f>
        <v/>
      </c>
      <c r="E20" s="4">
        <f>F14</f>
        <v/>
      </c>
      <c r="F20" s="4">
        <f>2*B20*C20*D20*E20</f>
        <v/>
      </c>
    </row>
    <row r="21">
      <c r="A21" t="inlineStr">
        <is>
          <t>EUR ↔ BRL</t>
        </is>
      </c>
      <c r="B21" s="4">
        <f>Parameters!$B$44</f>
        <v/>
      </c>
      <c r="C21" s="4">
        <f>MIN(E12,E15)/MAX(E12,E15)</f>
        <v/>
      </c>
      <c r="D21" s="4">
        <f>F12</f>
        <v/>
      </c>
      <c r="E21" s="4">
        <f>F15</f>
        <v/>
      </c>
      <c r="F21" s="4">
        <f>2*B21*C21*D21*E21</f>
        <v/>
      </c>
    </row>
    <row r="22">
      <c r="A22" t="inlineStr">
        <is>
          <t>GBP ↔ JPY</t>
        </is>
      </c>
      <c r="B22" s="4">
        <f>Parameters!$B$44</f>
        <v/>
      </c>
      <c r="C22" s="4">
        <f>MIN(E13,E14)/MAX(E13,E14)</f>
        <v/>
      </c>
      <c r="D22" s="4">
        <f>F13</f>
        <v/>
      </c>
      <c r="E22" s="4">
        <f>F14</f>
        <v/>
      </c>
      <c r="F22" s="4">
        <f>2*B22*C22*D22*E22</f>
        <v/>
      </c>
    </row>
    <row r="23">
      <c r="A23" t="inlineStr">
        <is>
          <t>GBP ↔ BRL</t>
        </is>
      </c>
      <c r="B23" s="4">
        <f>Parameters!$B$44</f>
        <v/>
      </c>
      <c r="C23" s="4">
        <f>MIN(E13,E15)/MAX(E13,E15)</f>
        <v/>
      </c>
      <c r="D23" s="4">
        <f>F13</f>
        <v/>
      </c>
      <c r="E23" s="4">
        <f>F15</f>
        <v/>
      </c>
      <c r="F23" s="4">
        <f>2*B23*C23*D23*E23</f>
        <v/>
      </c>
    </row>
    <row r="24">
      <c r="A24" t="inlineStr">
        <is>
          <t>JPY ↔ BRL</t>
        </is>
      </c>
      <c r="B24" s="4">
        <f>Parameters!$B$44</f>
        <v/>
      </c>
      <c r="C24" s="4">
        <f>MIN(E14,E15)/MAX(E14,E15)</f>
        <v/>
      </c>
      <c r="D24" s="4">
        <f>F14</f>
        <v/>
      </c>
      <c r="E24" s="4">
        <f>F15</f>
        <v/>
      </c>
      <c r="F24" s="4">
        <f>2*B24*C24*D24*E24</f>
        <v/>
      </c>
    </row>
    <row r="26">
      <c r="A26" t="inlineStr">
        <is>
          <t>K_b² = SUMSQ(WS) + Σ pair terms:</t>
        </is>
      </c>
      <c r="B26" s="4">
        <f>SUMSQ(F12:F15)+SUM(F19:F24)</f>
        <v/>
      </c>
    </row>
    <row r="27">
      <c r="A27" t="inlineStr">
        <is>
          <t>K_b = SQRT(K_b²):</t>
        </is>
      </c>
      <c r="B27" s="4">
        <f>SQRT(MAX(0,B26))</f>
        <v/>
      </c>
    </row>
    <row r="29">
      <c r="A29" t="inlineStr">
        <is>
          <t>FX DELTA RESULT:</t>
        </is>
      </c>
      <c r="B29" s="4">
        <f>B27</f>
        <v/>
      </c>
    </row>
    <row r="31">
      <c r="A31" s="2">
        <f>===============================================================</f>
        <v/>
      </c>
    </row>
    <row r="32">
      <c r="A32" t="inlineStr">
        <is>
          <t>FX VEGA + CURVATURE</t>
        </is>
      </c>
    </row>
    <row r="33">
      <c r="A33" s="2">
        <f>===============================================================</f>
        <v/>
      </c>
    </row>
    <row r="34">
      <c r="A34" t="inlineStr">
        <is>
          <t>FX vega derives σ from RW·sqrt(365/14)/Φ⁻¹(99%), then VR_i = HVR·σ·vega.</t>
        </is>
      </c>
    </row>
    <row r="35">
      <c r="A35" t="inlineStr">
        <is>
          <t>Static FX Vega:</t>
        </is>
      </c>
      <c r="B35" t="n">
        <v>728644.3282484396</v>
      </c>
    </row>
    <row r="36">
      <c r="A36" t="inlineStr">
        <is>
          <t>Static FX Curvature:</t>
        </is>
      </c>
      <c r="B36" t="n">
        <v>343739.6024961925</v>
      </c>
    </row>
    <row r="38">
      <c r="A38" s="2">
        <f>==== FX RISK CLASS IM =====</f>
        <v/>
      </c>
    </row>
    <row r="39">
      <c r="A39" t="inlineStr">
        <is>
          <t>IM_FX = FX Delta + FX Vega + FX Curvature:</t>
        </is>
      </c>
      <c r="B39" s="4">
        <f>B29+B35+B36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1" t="inlineStr">
        <is>
          <t>Risk Class → Product Class Aggregation (live)</t>
        </is>
      </c>
    </row>
    <row r="3">
      <c r="A3" t="inlineStr">
        <is>
          <t>All values link to IR Trace, FX Trace, and Parameters sheets.</t>
        </is>
      </c>
    </row>
    <row r="4">
      <c r="A4" t="inlineStr">
        <is>
          <t>Edit any input or parameter and the Total SIMM will recompute.</t>
        </is>
      </c>
    </row>
    <row r="6">
      <c r="A6" s="2">
        <f>==== PER RISK CLASS =====</f>
        <v/>
      </c>
    </row>
    <row r="7">
      <c r="A7" t="inlineStr">
        <is>
          <t>IR Delta:</t>
        </is>
      </c>
      <c r="B7" s="4">
        <f>'IR Trace'!$B$124</f>
        <v/>
      </c>
    </row>
    <row r="8">
      <c r="A8" t="inlineStr">
        <is>
          <t>IR Vega:</t>
        </is>
      </c>
      <c r="B8" s="4">
        <f>'IR Trace'!$B$134</f>
        <v/>
      </c>
    </row>
    <row r="9">
      <c r="A9" t="inlineStr">
        <is>
          <t>IR Curvature:</t>
        </is>
      </c>
      <c r="B9" s="4">
        <f>'IR Trace'!$B$140</f>
        <v/>
      </c>
    </row>
    <row r="10">
      <c r="A10" t="inlineStr">
        <is>
          <t>IM_IR =</t>
        </is>
      </c>
      <c r="B10" s="4">
        <f>'IR Trace'!$B$143</f>
        <v/>
      </c>
    </row>
    <row r="12">
      <c r="A12" t="inlineStr">
        <is>
          <t>FX Delta:</t>
        </is>
      </c>
      <c r="B12" s="4">
        <f>'FX Trace'!$B$29</f>
        <v/>
      </c>
    </row>
    <row r="13">
      <c r="A13" t="inlineStr">
        <is>
          <t>FX Vega:</t>
        </is>
      </c>
      <c r="B13" s="4">
        <f>'FX Trace'!$B$35</f>
        <v/>
      </c>
    </row>
    <row r="14">
      <c r="A14" t="inlineStr">
        <is>
          <t>FX Curvature:</t>
        </is>
      </c>
      <c r="B14" s="4">
        <f>'FX Trace'!$B$36</f>
        <v/>
      </c>
    </row>
    <row r="15">
      <c r="A15" t="inlineStr">
        <is>
          <t>IM_FX =</t>
        </is>
      </c>
      <c r="B15" s="4">
        <f>'FX Trace'!$B$39</f>
        <v/>
      </c>
    </row>
    <row r="17">
      <c r="A17" s="2">
        <f>==== INTER-RISK-CLASS AGGREGATION =====</f>
        <v/>
      </c>
    </row>
    <row r="18">
      <c r="A18" t="inlineStr">
        <is>
          <t>SIMM = SQRT(IM_IR² + IM_FX² + 2·ψ·IM_IR·IM_FX)</t>
        </is>
      </c>
    </row>
    <row r="19">
      <c r="A19" t="inlineStr">
        <is>
          <t>ψ_IR_FX:</t>
        </is>
      </c>
      <c r="B19" s="4">
        <f>Parameters!$B$69</f>
        <v/>
      </c>
    </row>
    <row r="21">
      <c r="A21" t="inlineStr">
        <is>
          <t>IM_IR² + IM_FX² + 2·ψ·IM_IR·IM_FX:</t>
        </is>
      </c>
      <c r="B21" s="4">
        <f>B10^2+B15^2+2*B19*B10*B15</f>
        <v/>
      </c>
    </row>
    <row r="22">
      <c r="A22" s="3" t="inlineStr">
        <is>
          <t>Total SIMM IM = SQRT(above):</t>
        </is>
      </c>
      <c r="B22" s="3">
        <f>SQRT(MAX(0,B21))</f>
        <v/>
      </c>
    </row>
    <row r="25">
      <c r="A25" s="2">
        <f>==== DIVERSIFICATION CHECK =====</f>
        <v/>
      </c>
    </row>
    <row r="26">
      <c r="A26" t="inlineStr">
        <is>
          <t>Sum of risk classes (no diversification):</t>
        </is>
      </c>
      <c r="B26" s="4">
        <f>B10+B15</f>
        <v/>
      </c>
    </row>
    <row r="27">
      <c r="A27" t="inlineStr">
        <is>
          <t>Total SIMM (with ψ):</t>
        </is>
      </c>
      <c r="B27" s="4">
        <f>B22</f>
        <v/>
      </c>
    </row>
    <row r="28">
      <c r="A28" t="inlineStr">
        <is>
          <t>Diversification benefit:</t>
        </is>
      </c>
      <c r="B28" s="4">
        <f>B26-B22</f>
        <v/>
      </c>
    </row>
    <row r="30">
      <c r="A30" t="inlineStr">
        <is>
          <t>Comparison cases (changing ψ):</t>
        </is>
      </c>
    </row>
    <row r="31">
      <c r="A31" t="inlineStr">
        <is>
          <t xml:space="preserve">  If ψ = 0:</t>
        </is>
      </c>
      <c r="B31" s="4">
        <f>SQRT(B10^2+B15^2)</f>
        <v/>
      </c>
    </row>
    <row r="32">
      <c r="A32" t="inlineStr">
        <is>
          <t xml:space="preserve">  If ψ = 1:</t>
        </is>
      </c>
      <c r="B32" s="4">
        <f>B10+B15</f>
        <v/>
      </c>
    </row>
    <row r="33">
      <c r="A33" t="inlineStr">
        <is>
          <t xml:space="preserve">  Actual (live):</t>
        </is>
      </c>
      <c r="B33" s="4">
        <f>B22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2026-05-08T09:03:32Z</dcterms:created>
  <dcterms:modified xmlns:dcterms="http://purl.org/dc/terms/" xmlns:xsi="http://www.w3.org/2001/XMLSchema-instance" xsi:type="dcterms:W3CDTF">2026-05-08T09:03:32Z</dcterms:modified>
</cp:coreProperties>
</file>